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760597-7669-4B58-BA86-50E87802ACF1}" xr6:coauthVersionLast="47" xr6:coauthVersionMax="47" xr10:uidLastSave="{00000000-0000-0000-0000-000000000000}"/>
  <bookViews>
    <workbookView xWindow="-120" yWindow="-120" windowWidth="38640" windowHeight="15720"/>
  </bookViews>
  <sheets>
    <sheet name="Page1" sheetId="1" r:id="rId1"/>
    <sheet name="Page2" sheetId="4" r:id="rId2"/>
    <sheet name="Page3" sheetId="12" r:id="rId3"/>
    <sheet name="Page4" sheetId="13" state="hidden" r:id="rId4"/>
    <sheet name="Data" sheetId="5" state="hidden" r:id="rId5"/>
  </sheets>
  <externalReferences>
    <externalReference r:id="rId6"/>
  </externalReferences>
  <definedNames>
    <definedName name="_xlnm._FilterDatabase" localSheetId="1" hidden="1">Page2!$L$4:$V$23</definedName>
    <definedName name="_xlnm.Print_Area" localSheetId="4">Data!$A$1:$Y$25</definedName>
    <definedName name="_xlnm.Print_Area" localSheetId="0">Page1!$A$1:$R$98</definedName>
    <definedName name="_xlnm.Print_Area" localSheetId="1">Page2!$A$1:$V$110</definedName>
    <definedName name="_xlnm.Print_Area" localSheetId="2">Page3!$A$1:$Y$76</definedName>
    <definedName name="_xlnm.Print_Area" localSheetId="3">Page4!$A$1:$AA$41</definedName>
  </definedNames>
  <calcPr calcId="0"/>
</workbook>
</file>

<file path=xl/calcChain.xml><?xml version="1.0" encoding="utf-8"?>
<calcChain xmlns="http://schemas.openxmlformats.org/spreadsheetml/2006/main">
  <c r="F5" i="5" l="1"/>
  <c r="G5" i="5"/>
  <c r="L5" i="5"/>
  <c r="M5" i="5"/>
  <c r="R5" i="5"/>
  <c r="S5" i="5"/>
  <c r="X5" i="5"/>
  <c r="Y5" i="5"/>
  <c r="F6" i="5"/>
  <c r="G6" i="5"/>
  <c r="L6" i="5"/>
  <c r="M6" i="5"/>
  <c r="R6" i="5"/>
  <c r="S6" i="5"/>
  <c r="X6" i="5"/>
  <c r="Y6" i="5"/>
  <c r="F7" i="5"/>
  <c r="G7" i="5"/>
  <c r="L7" i="5"/>
  <c r="M7" i="5"/>
  <c r="R7" i="5"/>
  <c r="S7" i="5"/>
  <c r="X7" i="5"/>
  <c r="Y7" i="5"/>
  <c r="F8" i="5"/>
  <c r="G8" i="5"/>
  <c r="L8" i="5"/>
  <c r="M8" i="5"/>
  <c r="R8" i="5"/>
  <c r="S8" i="5"/>
  <c r="X8" i="5"/>
  <c r="Y8" i="5"/>
  <c r="F9" i="5"/>
  <c r="G9" i="5"/>
  <c r="L9" i="5"/>
  <c r="M9" i="5"/>
  <c r="R9" i="5"/>
  <c r="S9" i="5"/>
  <c r="X9" i="5"/>
  <c r="Y9" i="5"/>
  <c r="F10" i="5"/>
  <c r="G10" i="5"/>
  <c r="L10" i="5"/>
  <c r="M10" i="5"/>
  <c r="R10" i="5"/>
  <c r="S10" i="5"/>
  <c r="X10" i="5"/>
  <c r="Y10" i="5"/>
  <c r="F11" i="5"/>
  <c r="G11" i="5"/>
  <c r="L11" i="5"/>
  <c r="M11" i="5"/>
  <c r="R11" i="5"/>
  <c r="S11" i="5"/>
  <c r="X11" i="5"/>
  <c r="Y11" i="5"/>
  <c r="F12" i="5"/>
  <c r="G12" i="5"/>
  <c r="L12" i="5"/>
  <c r="M12" i="5"/>
  <c r="R12" i="5"/>
  <c r="S12" i="5"/>
  <c r="X12" i="5"/>
  <c r="Y12" i="5"/>
  <c r="F13" i="5"/>
  <c r="G13" i="5"/>
  <c r="L13" i="5"/>
  <c r="M13" i="5"/>
  <c r="R13" i="5"/>
  <c r="S13" i="5"/>
  <c r="X13" i="5"/>
  <c r="Y13" i="5"/>
  <c r="F14" i="5"/>
  <c r="G14" i="5"/>
  <c r="L14" i="5"/>
  <c r="M14" i="5"/>
  <c r="R14" i="5"/>
  <c r="S14" i="5"/>
  <c r="X14" i="5"/>
  <c r="Y14" i="5"/>
  <c r="F15" i="5"/>
  <c r="G15" i="5"/>
  <c r="L15" i="5"/>
  <c r="M15" i="5"/>
  <c r="R15" i="5"/>
  <c r="S15" i="5"/>
  <c r="X15" i="5"/>
  <c r="Y15" i="5"/>
  <c r="F16" i="5"/>
  <c r="G16" i="5"/>
  <c r="L16" i="5"/>
  <c r="M16" i="5"/>
  <c r="R16" i="5"/>
  <c r="S16" i="5"/>
  <c r="X16" i="5"/>
  <c r="Y16" i="5"/>
  <c r="F17" i="5"/>
  <c r="G17" i="5"/>
  <c r="L17" i="5"/>
  <c r="M17" i="5"/>
  <c r="R17" i="5"/>
  <c r="S17" i="5"/>
  <c r="X17" i="5"/>
  <c r="Y17" i="5"/>
  <c r="F18" i="5"/>
  <c r="G18" i="5"/>
  <c r="L18" i="5"/>
  <c r="M18" i="5"/>
  <c r="R18" i="5"/>
  <c r="S18" i="5"/>
  <c r="X18" i="5"/>
  <c r="Y18" i="5"/>
  <c r="F19" i="5"/>
  <c r="G19" i="5"/>
  <c r="L19" i="5"/>
  <c r="M19" i="5"/>
  <c r="R19" i="5"/>
  <c r="S19" i="5"/>
  <c r="X19" i="5"/>
  <c r="Y19" i="5"/>
  <c r="F20" i="5"/>
  <c r="G20" i="5"/>
  <c r="L20" i="5"/>
  <c r="M20" i="5"/>
  <c r="R20" i="5"/>
  <c r="S20" i="5"/>
  <c r="X20" i="5"/>
  <c r="Y20" i="5"/>
  <c r="F21" i="5"/>
  <c r="G21" i="5"/>
  <c r="L21" i="5"/>
  <c r="M21" i="5"/>
  <c r="R21" i="5"/>
  <c r="S21" i="5"/>
  <c r="X21" i="5"/>
  <c r="Y21" i="5"/>
  <c r="AD21" i="5"/>
  <c r="F22" i="5"/>
  <c r="G22" i="5"/>
  <c r="L22" i="5"/>
  <c r="M22" i="5"/>
  <c r="R22" i="5"/>
  <c r="S22" i="5"/>
  <c r="X22" i="5"/>
  <c r="Y22" i="5"/>
  <c r="AD22" i="5"/>
  <c r="F23" i="5"/>
  <c r="G23" i="5"/>
  <c r="L23" i="5"/>
  <c r="M23" i="5"/>
  <c r="R23" i="5"/>
  <c r="S23" i="5"/>
  <c r="X23" i="5"/>
  <c r="Y23" i="5"/>
  <c r="AD23" i="5"/>
  <c r="F24" i="5"/>
  <c r="G24" i="5"/>
  <c r="L24" i="5"/>
  <c r="M24" i="5"/>
  <c r="R24" i="5"/>
  <c r="S24" i="5"/>
  <c r="X24" i="5"/>
  <c r="Y24" i="5"/>
  <c r="AB24" i="5"/>
  <c r="AD24" i="5"/>
  <c r="AB25" i="5"/>
  <c r="AC25" i="5"/>
  <c r="AD25" i="5"/>
  <c r="AE25" i="5"/>
  <c r="C47" i="5"/>
  <c r="E47" i="5"/>
  <c r="G47" i="5"/>
  <c r="I47" i="5"/>
  <c r="C48" i="5"/>
  <c r="E48" i="5"/>
  <c r="G48" i="5"/>
  <c r="I48" i="5"/>
  <c r="D50" i="5"/>
  <c r="E50" i="5"/>
  <c r="F50" i="5"/>
  <c r="G50" i="5"/>
  <c r="H50" i="5"/>
  <c r="D51" i="5"/>
  <c r="E51" i="5"/>
  <c r="F51" i="5"/>
  <c r="G51" i="5"/>
  <c r="H51" i="5"/>
  <c r="D52" i="5"/>
  <c r="E52" i="5"/>
  <c r="F52" i="5"/>
  <c r="G52" i="5"/>
  <c r="H52" i="5"/>
  <c r="D53" i="5"/>
  <c r="E53" i="5"/>
  <c r="F53" i="5"/>
  <c r="G53" i="5"/>
  <c r="H53" i="5"/>
  <c r="B9" i="1"/>
  <c r="C9" i="1"/>
  <c r="D9" i="1"/>
  <c r="H9" i="1"/>
  <c r="I9" i="1"/>
  <c r="J9" i="1"/>
  <c r="K9" i="1"/>
  <c r="L9" i="1"/>
  <c r="M9" i="1"/>
  <c r="R9" i="1"/>
  <c r="B10" i="1"/>
  <c r="C10" i="1"/>
  <c r="D10" i="1"/>
  <c r="H10" i="1"/>
  <c r="I10" i="1"/>
  <c r="J10" i="1"/>
  <c r="K10" i="1"/>
  <c r="L10" i="1"/>
  <c r="M10" i="1"/>
  <c r="R10" i="1"/>
  <c r="B11" i="1"/>
  <c r="C11" i="1"/>
  <c r="D11" i="1"/>
  <c r="H11" i="1"/>
  <c r="I11" i="1"/>
  <c r="J11" i="1"/>
  <c r="K11" i="1"/>
  <c r="L11" i="1"/>
  <c r="M11" i="1"/>
  <c r="R11" i="1"/>
  <c r="B12" i="1"/>
  <c r="C12" i="1"/>
  <c r="D12" i="1"/>
  <c r="H12" i="1"/>
  <c r="I12" i="1"/>
  <c r="J12" i="1"/>
  <c r="K12" i="1"/>
  <c r="L12" i="1"/>
  <c r="M12" i="1"/>
  <c r="R12" i="1"/>
  <c r="B13" i="1"/>
  <c r="C13" i="1"/>
  <c r="D13" i="1"/>
  <c r="H13" i="1"/>
  <c r="I13" i="1"/>
  <c r="J13" i="1"/>
  <c r="K13" i="1"/>
  <c r="L13" i="1"/>
  <c r="M13" i="1"/>
  <c r="R13" i="1"/>
  <c r="B14" i="1"/>
  <c r="C14" i="1"/>
  <c r="D14" i="1"/>
  <c r="H14" i="1"/>
  <c r="I14" i="1"/>
  <c r="J14" i="1"/>
  <c r="K14" i="1"/>
  <c r="L14" i="1"/>
  <c r="M14" i="1"/>
  <c r="R14" i="1"/>
  <c r="B15" i="1"/>
  <c r="C15" i="1"/>
  <c r="D15" i="1"/>
  <c r="H15" i="1"/>
  <c r="I15" i="1"/>
  <c r="J15" i="1"/>
  <c r="K15" i="1"/>
  <c r="L15" i="1"/>
  <c r="M15" i="1"/>
  <c r="R15" i="1"/>
  <c r="B16" i="1"/>
  <c r="C16" i="1"/>
  <c r="D16" i="1"/>
  <c r="H16" i="1"/>
  <c r="I16" i="1"/>
  <c r="J16" i="1"/>
  <c r="K16" i="1"/>
  <c r="L16" i="1"/>
  <c r="M16" i="1"/>
  <c r="R16" i="1"/>
  <c r="B17" i="1"/>
  <c r="C17" i="1"/>
  <c r="D17" i="1"/>
  <c r="H17" i="1"/>
  <c r="I17" i="1"/>
  <c r="J17" i="1"/>
  <c r="K17" i="1"/>
  <c r="L17" i="1"/>
  <c r="M17" i="1"/>
  <c r="R17" i="1"/>
  <c r="B18" i="1"/>
  <c r="C18" i="1"/>
  <c r="H18" i="1"/>
  <c r="I18" i="1"/>
  <c r="J18" i="1"/>
  <c r="K18" i="1"/>
  <c r="L18" i="1"/>
  <c r="M18" i="1"/>
  <c r="R18" i="1"/>
  <c r="H19" i="1"/>
  <c r="I19" i="1"/>
  <c r="J19" i="1"/>
  <c r="K19" i="1"/>
  <c r="L19" i="1"/>
  <c r="M19" i="1"/>
  <c r="R19" i="1"/>
  <c r="H20" i="1"/>
  <c r="I20" i="1"/>
  <c r="J20" i="1"/>
  <c r="K20" i="1"/>
  <c r="L20" i="1"/>
  <c r="M20" i="1"/>
  <c r="R20" i="1"/>
  <c r="B21" i="1"/>
  <c r="C21" i="1"/>
  <c r="D21" i="1"/>
  <c r="H21" i="1"/>
  <c r="I21" i="1"/>
  <c r="J21" i="1"/>
  <c r="K21" i="1"/>
  <c r="L21" i="1"/>
  <c r="M21" i="1"/>
  <c r="B22" i="1"/>
  <c r="C22" i="1"/>
  <c r="D22" i="1"/>
  <c r="H22" i="1"/>
  <c r="I22" i="1"/>
  <c r="J22" i="1"/>
  <c r="K22" i="1"/>
  <c r="L22" i="1"/>
  <c r="M22" i="1"/>
  <c r="B23" i="1"/>
  <c r="C23" i="1"/>
  <c r="D23" i="1"/>
  <c r="H23" i="1"/>
  <c r="I23" i="1"/>
  <c r="J23" i="1"/>
  <c r="K23" i="1"/>
  <c r="L23" i="1"/>
  <c r="M23" i="1"/>
  <c r="B24" i="1"/>
  <c r="C24" i="1"/>
  <c r="D24" i="1"/>
  <c r="H24" i="1"/>
  <c r="I24" i="1"/>
  <c r="J24" i="1"/>
  <c r="K24" i="1"/>
  <c r="L24" i="1"/>
  <c r="M24" i="1"/>
  <c r="R24" i="1"/>
  <c r="B25" i="1"/>
  <c r="C25" i="1"/>
  <c r="D25" i="1"/>
  <c r="H25" i="1"/>
  <c r="I25" i="1"/>
  <c r="J25" i="1"/>
  <c r="K25" i="1"/>
  <c r="L25" i="1"/>
  <c r="M25" i="1"/>
  <c r="R25" i="1"/>
  <c r="B26" i="1"/>
  <c r="C26" i="1"/>
  <c r="D26" i="1"/>
  <c r="R26" i="1"/>
  <c r="B27" i="1"/>
  <c r="C27" i="1"/>
  <c r="H27" i="1"/>
  <c r="I27" i="1"/>
  <c r="J27" i="1"/>
  <c r="K27" i="1"/>
  <c r="L27" i="1"/>
  <c r="M27" i="1"/>
  <c r="R27" i="1"/>
  <c r="H28" i="1"/>
  <c r="I28" i="1"/>
  <c r="J28" i="1"/>
  <c r="K28" i="1"/>
  <c r="L28" i="1"/>
  <c r="M28" i="1"/>
  <c r="R28" i="1"/>
  <c r="R29" i="1"/>
  <c r="B30" i="1"/>
  <c r="C30" i="1"/>
  <c r="D30" i="1"/>
  <c r="H30" i="1"/>
  <c r="I30" i="1"/>
  <c r="J30" i="1"/>
  <c r="K30" i="1"/>
  <c r="L30" i="1"/>
  <c r="M30" i="1"/>
  <c r="R30" i="1"/>
  <c r="B31" i="1"/>
  <c r="C31" i="1"/>
  <c r="D31" i="1"/>
  <c r="H31" i="1"/>
  <c r="I31" i="1"/>
  <c r="J31" i="1"/>
  <c r="K31" i="1"/>
  <c r="L31" i="1"/>
  <c r="M31" i="1"/>
  <c r="R31" i="1"/>
  <c r="B32" i="1"/>
  <c r="C32" i="1"/>
  <c r="D32" i="1"/>
  <c r="H32" i="1"/>
  <c r="I32" i="1"/>
  <c r="J32" i="1"/>
  <c r="K32" i="1"/>
  <c r="L32" i="1"/>
  <c r="M32" i="1"/>
  <c r="R32" i="1"/>
  <c r="B33" i="1"/>
  <c r="C33" i="1"/>
  <c r="D33" i="1"/>
  <c r="R33" i="1"/>
  <c r="B34" i="1"/>
  <c r="C34" i="1"/>
  <c r="D34" i="1"/>
  <c r="H34" i="1"/>
  <c r="I34" i="1"/>
  <c r="J34" i="1"/>
  <c r="K34" i="1"/>
  <c r="L34" i="1"/>
  <c r="M34" i="1"/>
  <c r="R34" i="1"/>
  <c r="B35" i="1"/>
  <c r="C35" i="1"/>
  <c r="D35" i="1"/>
  <c r="H35" i="1"/>
  <c r="I35" i="1"/>
  <c r="J35" i="1"/>
  <c r="K35" i="1"/>
  <c r="L35" i="1"/>
  <c r="M35" i="1"/>
  <c r="R35" i="1"/>
  <c r="B36" i="1"/>
  <c r="C36" i="1"/>
  <c r="B39" i="1"/>
  <c r="C39" i="1"/>
  <c r="D39" i="1"/>
  <c r="B40" i="1"/>
  <c r="C40" i="1"/>
  <c r="D40" i="1"/>
  <c r="B41" i="1"/>
  <c r="C41" i="1"/>
  <c r="D41" i="1"/>
  <c r="B42" i="1"/>
  <c r="C42" i="1"/>
  <c r="D42" i="1"/>
  <c r="I42" i="1"/>
  <c r="M42" i="1"/>
  <c r="R42" i="1"/>
  <c r="B43" i="1"/>
  <c r="C43" i="1"/>
  <c r="D43" i="1"/>
  <c r="I43" i="1"/>
  <c r="M43" i="1"/>
  <c r="R43" i="1"/>
  <c r="B44" i="1"/>
  <c r="C44" i="1"/>
  <c r="D44" i="1"/>
  <c r="I44" i="1"/>
  <c r="M44" i="1"/>
  <c r="R44" i="1"/>
  <c r="B45" i="1"/>
  <c r="C45" i="1"/>
  <c r="I45" i="1"/>
  <c r="M45" i="1"/>
  <c r="R45" i="1"/>
  <c r="I46" i="1"/>
  <c r="M46" i="1"/>
  <c r="R46" i="1"/>
  <c r="B47" i="1"/>
  <c r="D47" i="1"/>
  <c r="I47" i="1"/>
  <c r="M47" i="1"/>
  <c r="R47" i="1"/>
  <c r="B48" i="1"/>
  <c r="C48" i="1"/>
  <c r="D48" i="1"/>
  <c r="I48" i="1"/>
  <c r="M48" i="1"/>
  <c r="R48" i="1"/>
  <c r="B49" i="1"/>
  <c r="C49" i="1"/>
  <c r="I49" i="1"/>
  <c r="M49" i="1"/>
  <c r="R49" i="1"/>
  <c r="I50" i="1"/>
  <c r="M50" i="1"/>
  <c r="R50" i="1"/>
  <c r="I51" i="1"/>
  <c r="M51" i="1"/>
  <c r="R51" i="1"/>
  <c r="I52" i="1"/>
  <c r="M52" i="1"/>
  <c r="R52" i="1"/>
  <c r="I53" i="1"/>
  <c r="M53" i="1"/>
  <c r="R53" i="1"/>
  <c r="B54" i="1"/>
  <c r="C54" i="1"/>
  <c r="D54" i="1"/>
  <c r="P54" i="1"/>
  <c r="Q54" i="1"/>
  <c r="R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B64" i="1"/>
  <c r="B65" i="1"/>
  <c r="B66" i="1"/>
  <c r="C66" i="1"/>
  <c r="C5" i="4"/>
  <c r="D5" i="4"/>
  <c r="E5" i="4"/>
  <c r="F5" i="4"/>
  <c r="G5" i="4"/>
  <c r="H5" i="4"/>
  <c r="I5" i="4"/>
  <c r="J5" i="4"/>
  <c r="K5" i="4"/>
  <c r="N5" i="4"/>
  <c r="P5" i="4"/>
  <c r="Q5" i="4"/>
  <c r="R5" i="4"/>
  <c r="S5" i="4"/>
  <c r="T5" i="4"/>
  <c r="U5" i="4"/>
  <c r="W5" i="4"/>
  <c r="C6" i="4"/>
  <c r="D6" i="4"/>
  <c r="E6" i="4"/>
  <c r="F6" i="4"/>
  <c r="G6" i="4"/>
  <c r="H6" i="4"/>
  <c r="I6" i="4"/>
  <c r="J6" i="4"/>
  <c r="K6" i="4"/>
  <c r="N6" i="4"/>
  <c r="O6" i="4"/>
  <c r="P6" i="4"/>
  <c r="Q6" i="4"/>
  <c r="R6" i="4"/>
  <c r="S6" i="4"/>
  <c r="T6" i="4"/>
  <c r="U6" i="4"/>
  <c r="W6" i="4"/>
  <c r="C7" i="4"/>
  <c r="D7" i="4"/>
  <c r="E7" i="4"/>
  <c r="F7" i="4"/>
  <c r="G7" i="4"/>
  <c r="H7" i="4"/>
  <c r="I7" i="4"/>
  <c r="J7" i="4"/>
  <c r="K7" i="4"/>
  <c r="N7" i="4"/>
  <c r="P7" i="4"/>
  <c r="Q7" i="4"/>
  <c r="R7" i="4"/>
  <c r="S7" i="4"/>
  <c r="T7" i="4"/>
  <c r="U7" i="4"/>
  <c r="W7" i="4"/>
  <c r="C8" i="4"/>
  <c r="D8" i="4"/>
  <c r="E8" i="4"/>
  <c r="F8" i="4"/>
  <c r="G8" i="4"/>
  <c r="H8" i="4"/>
  <c r="I8" i="4"/>
  <c r="J8" i="4"/>
  <c r="K8" i="4"/>
  <c r="N8" i="4"/>
  <c r="O8" i="4"/>
  <c r="P8" i="4"/>
  <c r="Q8" i="4"/>
  <c r="R8" i="4"/>
  <c r="S8" i="4"/>
  <c r="T8" i="4"/>
  <c r="U8" i="4"/>
  <c r="W8" i="4"/>
  <c r="C9" i="4"/>
  <c r="D9" i="4"/>
  <c r="E9" i="4"/>
  <c r="F9" i="4"/>
  <c r="G9" i="4"/>
  <c r="H9" i="4"/>
  <c r="I9" i="4"/>
  <c r="J9" i="4"/>
  <c r="K9" i="4"/>
  <c r="N9" i="4"/>
  <c r="O9" i="4"/>
  <c r="P9" i="4"/>
  <c r="Q9" i="4"/>
  <c r="R9" i="4"/>
  <c r="S9" i="4"/>
  <c r="T9" i="4"/>
  <c r="U9" i="4"/>
  <c r="W9" i="4"/>
  <c r="C10" i="4"/>
  <c r="D10" i="4"/>
  <c r="E10" i="4"/>
  <c r="F10" i="4"/>
  <c r="G10" i="4"/>
  <c r="H10" i="4"/>
  <c r="I10" i="4"/>
  <c r="J10" i="4"/>
  <c r="K10" i="4"/>
  <c r="N10" i="4"/>
  <c r="O10" i="4"/>
  <c r="P10" i="4"/>
  <c r="Q10" i="4"/>
  <c r="R10" i="4"/>
  <c r="S10" i="4"/>
  <c r="T10" i="4"/>
  <c r="U10" i="4"/>
  <c r="W10" i="4"/>
  <c r="C11" i="4"/>
  <c r="D11" i="4"/>
  <c r="E11" i="4"/>
  <c r="F11" i="4"/>
  <c r="G11" i="4"/>
  <c r="H11" i="4"/>
  <c r="I11" i="4"/>
  <c r="J11" i="4"/>
  <c r="K11" i="4"/>
  <c r="N11" i="4"/>
  <c r="O11" i="4"/>
  <c r="P11" i="4"/>
  <c r="Q11" i="4"/>
  <c r="R11" i="4"/>
  <c r="S11" i="4"/>
  <c r="T11" i="4"/>
  <c r="U11" i="4"/>
  <c r="W11" i="4"/>
  <c r="C12" i="4"/>
  <c r="D12" i="4"/>
  <c r="E12" i="4"/>
  <c r="F12" i="4"/>
  <c r="G12" i="4"/>
  <c r="H12" i="4"/>
  <c r="I12" i="4"/>
  <c r="J12" i="4"/>
  <c r="K12" i="4"/>
  <c r="N12" i="4"/>
  <c r="O12" i="4"/>
  <c r="P12" i="4"/>
  <c r="Q12" i="4"/>
  <c r="R12" i="4"/>
  <c r="S12" i="4"/>
  <c r="T12" i="4"/>
  <c r="U12" i="4"/>
  <c r="W12" i="4"/>
  <c r="C13" i="4"/>
  <c r="D13" i="4"/>
  <c r="E13" i="4"/>
  <c r="F13" i="4"/>
  <c r="G13" i="4"/>
  <c r="H13" i="4"/>
  <c r="I13" i="4"/>
  <c r="J13" i="4"/>
  <c r="K13" i="4"/>
  <c r="N13" i="4"/>
  <c r="O13" i="4"/>
  <c r="P13" i="4"/>
  <c r="Q13" i="4"/>
  <c r="R13" i="4"/>
  <c r="S13" i="4"/>
  <c r="T13" i="4"/>
  <c r="U13" i="4"/>
  <c r="W13" i="4"/>
  <c r="C14" i="4"/>
  <c r="D14" i="4"/>
  <c r="E14" i="4"/>
  <c r="F14" i="4"/>
  <c r="G14" i="4"/>
  <c r="H14" i="4"/>
  <c r="I14" i="4"/>
  <c r="J14" i="4"/>
  <c r="K14" i="4"/>
  <c r="N14" i="4"/>
  <c r="O14" i="4"/>
  <c r="P14" i="4"/>
  <c r="Q14" i="4"/>
  <c r="R14" i="4"/>
  <c r="S14" i="4"/>
  <c r="T14" i="4"/>
  <c r="U14" i="4"/>
  <c r="W14" i="4"/>
  <c r="C15" i="4"/>
  <c r="D15" i="4"/>
  <c r="E15" i="4"/>
  <c r="F15" i="4"/>
  <c r="G15" i="4"/>
  <c r="H15" i="4"/>
  <c r="I15" i="4"/>
  <c r="J15" i="4"/>
  <c r="K15" i="4"/>
  <c r="N15" i="4"/>
  <c r="O15" i="4"/>
  <c r="P15" i="4"/>
  <c r="Q15" i="4"/>
  <c r="R15" i="4"/>
  <c r="S15" i="4"/>
  <c r="T15" i="4"/>
  <c r="U15" i="4"/>
  <c r="W15" i="4"/>
  <c r="C16" i="4"/>
  <c r="D16" i="4"/>
  <c r="E16" i="4"/>
  <c r="F16" i="4"/>
  <c r="G16" i="4"/>
  <c r="H16" i="4"/>
  <c r="I16" i="4"/>
  <c r="J16" i="4"/>
  <c r="K16" i="4"/>
  <c r="N16" i="4"/>
  <c r="O16" i="4"/>
  <c r="P16" i="4"/>
  <c r="Q16" i="4"/>
  <c r="R16" i="4"/>
  <c r="S16" i="4"/>
  <c r="T16" i="4"/>
  <c r="U16" i="4"/>
  <c r="W16" i="4"/>
  <c r="C17" i="4"/>
  <c r="D17" i="4"/>
  <c r="E17" i="4"/>
  <c r="F17" i="4"/>
  <c r="G17" i="4"/>
  <c r="H17" i="4"/>
  <c r="I17" i="4"/>
  <c r="J17" i="4"/>
  <c r="K17" i="4"/>
  <c r="N17" i="4"/>
  <c r="O17" i="4"/>
  <c r="P17" i="4"/>
  <c r="Q17" i="4"/>
  <c r="R17" i="4"/>
  <c r="S17" i="4"/>
  <c r="T17" i="4"/>
  <c r="U17" i="4"/>
  <c r="W17" i="4"/>
  <c r="C18" i="4"/>
  <c r="D18" i="4"/>
  <c r="E18" i="4"/>
  <c r="F18" i="4"/>
  <c r="G18" i="4"/>
  <c r="H18" i="4"/>
  <c r="I18" i="4"/>
  <c r="J18" i="4"/>
  <c r="K18" i="4"/>
  <c r="N18" i="4"/>
  <c r="O18" i="4"/>
  <c r="P18" i="4"/>
  <c r="Q18" i="4"/>
  <c r="R18" i="4"/>
  <c r="S18" i="4"/>
  <c r="T18" i="4"/>
  <c r="U18" i="4"/>
  <c r="W18" i="4"/>
  <c r="C19" i="4"/>
  <c r="D19" i="4"/>
  <c r="E19" i="4"/>
  <c r="F19" i="4"/>
  <c r="G19" i="4"/>
  <c r="H19" i="4"/>
  <c r="I19" i="4"/>
  <c r="J19" i="4"/>
  <c r="K19" i="4"/>
  <c r="N19" i="4"/>
  <c r="O19" i="4"/>
  <c r="P19" i="4"/>
  <c r="Q19" i="4"/>
  <c r="R19" i="4"/>
  <c r="S19" i="4"/>
  <c r="T19" i="4"/>
  <c r="U19" i="4"/>
  <c r="W19" i="4"/>
  <c r="C20" i="4"/>
  <c r="D20" i="4"/>
  <c r="E20" i="4"/>
  <c r="F20" i="4"/>
  <c r="G20" i="4"/>
  <c r="H20" i="4"/>
  <c r="I20" i="4"/>
  <c r="J20" i="4"/>
  <c r="K20" i="4"/>
  <c r="N20" i="4"/>
  <c r="P20" i="4"/>
  <c r="Q20" i="4"/>
  <c r="R20" i="4"/>
  <c r="S20" i="4"/>
  <c r="T20" i="4"/>
  <c r="U20" i="4"/>
  <c r="W20" i="4"/>
  <c r="C21" i="4"/>
  <c r="D21" i="4"/>
  <c r="E21" i="4"/>
  <c r="F21" i="4"/>
  <c r="G21" i="4"/>
  <c r="H21" i="4"/>
  <c r="I21" i="4"/>
  <c r="J21" i="4"/>
  <c r="K21" i="4"/>
  <c r="N21" i="4"/>
  <c r="O21" i="4"/>
  <c r="P21" i="4"/>
  <c r="Q21" i="4"/>
  <c r="R21" i="4"/>
  <c r="S21" i="4"/>
  <c r="T21" i="4"/>
  <c r="U21" i="4"/>
  <c r="W21" i="4"/>
  <c r="C22" i="4"/>
  <c r="D22" i="4"/>
  <c r="E22" i="4"/>
  <c r="F22" i="4"/>
  <c r="G22" i="4"/>
  <c r="H22" i="4"/>
  <c r="I22" i="4"/>
  <c r="J22" i="4"/>
  <c r="K22" i="4"/>
  <c r="N22" i="4"/>
  <c r="O22" i="4"/>
  <c r="P22" i="4"/>
  <c r="Q22" i="4"/>
  <c r="R22" i="4"/>
  <c r="S22" i="4"/>
  <c r="T22" i="4"/>
  <c r="U22" i="4"/>
  <c r="W22" i="4"/>
  <c r="C23" i="4"/>
  <c r="D23" i="4"/>
  <c r="E23" i="4"/>
  <c r="F23" i="4"/>
  <c r="G23" i="4"/>
  <c r="H23" i="4"/>
  <c r="I23" i="4"/>
  <c r="J23" i="4"/>
  <c r="K23" i="4"/>
  <c r="N23" i="4"/>
  <c r="O23" i="4"/>
  <c r="P23" i="4"/>
  <c r="Q23" i="4"/>
  <c r="R23" i="4"/>
  <c r="S23" i="4"/>
  <c r="T23" i="4"/>
  <c r="U23" i="4"/>
  <c r="W23" i="4"/>
  <c r="C24" i="4"/>
  <c r="D24" i="4"/>
  <c r="E24" i="4"/>
  <c r="F24" i="4"/>
  <c r="G24" i="4"/>
  <c r="H24" i="4"/>
  <c r="I24" i="4"/>
  <c r="J24" i="4"/>
  <c r="K24" i="4"/>
  <c r="N24" i="4"/>
  <c r="O24" i="4"/>
  <c r="P24" i="4"/>
  <c r="Q24" i="4"/>
  <c r="R24" i="4"/>
  <c r="S24" i="4"/>
  <c r="T24" i="4"/>
  <c r="U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7" i="4"/>
  <c r="D27" i="4"/>
  <c r="E27" i="4"/>
  <c r="F27" i="4"/>
  <c r="G27" i="4"/>
  <c r="H27" i="4"/>
  <c r="I27" i="4"/>
  <c r="J27" i="4"/>
  <c r="K27" i="4"/>
  <c r="C28" i="4"/>
  <c r="D28" i="4"/>
  <c r="E28" i="4"/>
  <c r="F28" i="4"/>
  <c r="G28" i="4"/>
  <c r="H28" i="4"/>
  <c r="I28" i="4"/>
  <c r="J28" i="4"/>
  <c r="K28" i="4"/>
  <c r="C29" i="4"/>
  <c r="D29" i="4"/>
  <c r="E29" i="4"/>
  <c r="F29" i="4"/>
  <c r="G29" i="4"/>
  <c r="H29" i="4"/>
  <c r="I29" i="4"/>
  <c r="J29" i="4"/>
  <c r="K29" i="4"/>
  <c r="C30" i="4"/>
  <c r="D30" i="4"/>
  <c r="E30" i="4"/>
  <c r="F30" i="4"/>
  <c r="G30" i="4"/>
  <c r="H30" i="4"/>
  <c r="I30" i="4"/>
  <c r="J30" i="4"/>
  <c r="K30" i="4"/>
  <c r="C31" i="4"/>
  <c r="D31" i="4"/>
  <c r="E31" i="4"/>
  <c r="F31" i="4"/>
  <c r="G31" i="4"/>
  <c r="H31" i="4"/>
  <c r="I31" i="4"/>
  <c r="J31" i="4"/>
  <c r="K31" i="4"/>
  <c r="C32" i="4"/>
  <c r="D32" i="4"/>
  <c r="E32" i="4"/>
  <c r="F32" i="4"/>
  <c r="G32" i="4"/>
  <c r="H32" i="4"/>
  <c r="I32" i="4"/>
  <c r="J32" i="4"/>
  <c r="K32" i="4"/>
  <c r="C33" i="4"/>
  <c r="D33" i="4"/>
  <c r="E33" i="4"/>
  <c r="F33" i="4"/>
  <c r="G33" i="4"/>
  <c r="H33" i="4"/>
  <c r="I33" i="4"/>
  <c r="J33" i="4"/>
  <c r="K33" i="4"/>
  <c r="C34" i="4"/>
  <c r="D34" i="4"/>
  <c r="E34" i="4"/>
  <c r="F34" i="4"/>
  <c r="G34" i="4"/>
  <c r="H34" i="4"/>
  <c r="I34" i="4"/>
  <c r="J34" i="4"/>
  <c r="K34" i="4"/>
  <c r="C35" i="4"/>
  <c r="D35" i="4"/>
  <c r="E35" i="4"/>
  <c r="F35" i="4"/>
  <c r="G35" i="4"/>
  <c r="H35" i="4"/>
  <c r="I35" i="4"/>
  <c r="J35" i="4"/>
  <c r="K35" i="4"/>
  <c r="C36" i="4"/>
  <c r="D36" i="4"/>
  <c r="E36" i="4"/>
  <c r="F36" i="4"/>
  <c r="G36" i="4"/>
  <c r="H36" i="4"/>
  <c r="I36" i="4"/>
  <c r="J36" i="4"/>
  <c r="K36" i="4"/>
  <c r="C37" i="4"/>
  <c r="D37" i="4"/>
  <c r="E37" i="4"/>
  <c r="F37" i="4"/>
  <c r="G37" i="4"/>
  <c r="H37" i="4"/>
  <c r="I37" i="4"/>
  <c r="J37" i="4"/>
  <c r="K37" i="4"/>
  <c r="C38" i="4"/>
  <c r="D38" i="4"/>
  <c r="E38" i="4"/>
  <c r="F38" i="4"/>
  <c r="G38" i="4"/>
  <c r="H38" i="4"/>
  <c r="I38" i="4"/>
  <c r="J38" i="4"/>
  <c r="K38" i="4"/>
  <c r="C39" i="4"/>
  <c r="D39" i="4"/>
  <c r="E39" i="4"/>
  <c r="F39" i="4"/>
  <c r="G39" i="4"/>
  <c r="H39" i="4"/>
  <c r="I39" i="4"/>
  <c r="J39" i="4"/>
  <c r="K39" i="4"/>
  <c r="C40" i="4"/>
  <c r="D40" i="4"/>
  <c r="E40" i="4"/>
  <c r="F40" i="4"/>
  <c r="G40" i="4"/>
  <c r="H40" i="4"/>
  <c r="I40" i="4"/>
  <c r="J40" i="4"/>
  <c r="K40" i="4"/>
  <c r="C41" i="4"/>
  <c r="D41" i="4"/>
  <c r="E41" i="4"/>
  <c r="F41" i="4"/>
  <c r="G41" i="4"/>
  <c r="H41" i="4"/>
  <c r="I41" i="4"/>
  <c r="J41" i="4"/>
  <c r="K41" i="4"/>
  <c r="C42" i="4"/>
  <c r="D42" i="4"/>
  <c r="E42" i="4"/>
  <c r="F42" i="4"/>
  <c r="G42" i="4"/>
  <c r="H42" i="4"/>
  <c r="I42" i="4"/>
  <c r="J42" i="4"/>
  <c r="K42" i="4"/>
  <c r="C43" i="4"/>
  <c r="D43" i="4"/>
  <c r="E43" i="4"/>
  <c r="F43" i="4"/>
  <c r="G43" i="4"/>
  <c r="H43" i="4"/>
  <c r="I43" i="4"/>
  <c r="J43" i="4"/>
  <c r="K43" i="4"/>
  <c r="C44" i="4"/>
  <c r="D44" i="4"/>
  <c r="E44" i="4"/>
  <c r="F44" i="4"/>
  <c r="G44" i="4"/>
  <c r="H44" i="4"/>
  <c r="I44" i="4"/>
  <c r="J44" i="4"/>
  <c r="K44" i="4"/>
  <c r="C45" i="4"/>
  <c r="D45" i="4"/>
  <c r="E45" i="4"/>
  <c r="F45" i="4"/>
  <c r="G45" i="4"/>
  <c r="H45" i="4"/>
  <c r="I45" i="4"/>
  <c r="J45" i="4"/>
  <c r="K45" i="4"/>
  <c r="C46" i="4"/>
  <c r="D46" i="4"/>
  <c r="E46" i="4"/>
  <c r="F46" i="4"/>
  <c r="G46" i="4"/>
  <c r="H46" i="4"/>
  <c r="I46" i="4"/>
  <c r="J46" i="4"/>
  <c r="K46" i="4"/>
  <c r="C47" i="4"/>
  <c r="D47" i="4"/>
  <c r="E47" i="4"/>
  <c r="F47" i="4"/>
  <c r="G47" i="4"/>
  <c r="H47" i="4"/>
  <c r="I47" i="4"/>
  <c r="J47" i="4"/>
  <c r="K47" i="4"/>
  <c r="C48" i="4"/>
  <c r="D48" i="4"/>
  <c r="E48" i="4"/>
  <c r="F48" i="4"/>
  <c r="G48" i="4"/>
  <c r="H48" i="4"/>
  <c r="I48" i="4"/>
  <c r="J48" i="4"/>
  <c r="K48" i="4"/>
  <c r="C49" i="4"/>
  <c r="D49" i="4"/>
  <c r="E49" i="4"/>
  <c r="F49" i="4"/>
  <c r="G49" i="4"/>
  <c r="H49" i="4"/>
  <c r="I49" i="4"/>
  <c r="J49" i="4"/>
  <c r="K49" i="4"/>
  <c r="C50" i="4"/>
  <c r="D50" i="4"/>
  <c r="E50" i="4"/>
  <c r="F50" i="4"/>
  <c r="G50" i="4"/>
  <c r="H50" i="4"/>
  <c r="I50" i="4"/>
  <c r="J50" i="4"/>
  <c r="K50" i="4"/>
  <c r="C51" i="4"/>
  <c r="D51" i="4"/>
  <c r="E51" i="4"/>
  <c r="F51" i="4"/>
  <c r="G51" i="4"/>
  <c r="H51" i="4"/>
  <c r="I51" i="4"/>
  <c r="J51" i="4"/>
  <c r="K51" i="4"/>
  <c r="C52" i="4"/>
  <c r="D52" i="4"/>
  <c r="E52" i="4"/>
  <c r="F52" i="4"/>
  <c r="G52" i="4"/>
  <c r="H52" i="4"/>
  <c r="I52" i="4"/>
  <c r="J52" i="4"/>
  <c r="K52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C55" i="4"/>
  <c r="D55" i="4"/>
  <c r="E55" i="4"/>
  <c r="F55" i="4"/>
  <c r="G55" i="4"/>
  <c r="H55" i="4"/>
  <c r="I55" i="4"/>
  <c r="J55" i="4"/>
  <c r="K55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8" i="4"/>
  <c r="D58" i="4"/>
  <c r="E58" i="4"/>
  <c r="F58" i="4"/>
  <c r="G58" i="4"/>
  <c r="H58" i="4"/>
  <c r="I58" i="4"/>
  <c r="J58" i="4"/>
  <c r="K58" i="4"/>
  <c r="C59" i="4"/>
  <c r="D59" i="4"/>
  <c r="E59" i="4"/>
  <c r="F59" i="4"/>
  <c r="G59" i="4"/>
  <c r="H59" i="4"/>
  <c r="I59" i="4"/>
  <c r="J59" i="4"/>
  <c r="K59" i="4"/>
  <c r="C60" i="4"/>
  <c r="D60" i="4"/>
  <c r="E60" i="4"/>
  <c r="F60" i="4"/>
  <c r="G60" i="4"/>
  <c r="H60" i="4"/>
  <c r="I60" i="4"/>
  <c r="J60" i="4"/>
  <c r="K60" i="4"/>
  <c r="C61" i="4"/>
  <c r="D61" i="4"/>
  <c r="E61" i="4"/>
  <c r="F61" i="4"/>
  <c r="G61" i="4"/>
  <c r="H61" i="4"/>
  <c r="I61" i="4"/>
  <c r="J61" i="4"/>
  <c r="K61" i="4"/>
  <c r="C62" i="4"/>
  <c r="D62" i="4"/>
  <c r="E62" i="4"/>
  <c r="F62" i="4"/>
  <c r="G62" i="4"/>
  <c r="H62" i="4"/>
  <c r="I62" i="4"/>
  <c r="J62" i="4"/>
  <c r="K62" i="4"/>
  <c r="C63" i="4"/>
  <c r="D63" i="4"/>
  <c r="E63" i="4"/>
  <c r="F63" i="4"/>
  <c r="G63" i="4"/>
  <c r="H63" i="4"/>
  <c r="I63" i="4"/>
  <c r="J63" i="4"/>
  <c r="K63" i="4"/>
  <c r="C64" i="4"/>
  <c r="D64" i="4"/>
  <c r="E64" i="4"/>
  <c r="F64" i="4"/>
  <c r="G64" i="4"/>
  <c r="H64" i="4"/>
  <c r="I64" i="4"/>
  <c r="J64" i="4"/>
  <c r="K64" i="4"/>
  <c r="C65" i="4"/>
  <c r="D65" i="4"/>
  <c r="E65" i="4"/>
  <c r="F65" i="4"/>
  <c r="G65" i="4"/>
  <c r="H65" i="4"/>
  <c r="I65" i="4"/>
  <c r="J65" i="4"/>
  <c r="K65" i="4"/>
  <c r="C66" i="4"/>
  <c r="D66" i="4"/>
  <c r="E66" i="4"/>
  <c r="F66" i="4"/>
  <c r="G66" i="4"/>
  <c r="H66" i="4"/>
  <c r="I66" i="4"/>
  <c r="J66" i="4"/>
  <c r="K66" i="4"/>
  <c r="C67" i="4"/>
  <c r="D67" i="4"/>
  <c r="E67" i="4"/>
  <c r="F67" i="4"/>
  <c r="G67" i="4"/>
  <c r="H67" i="4"/>
  <c r="I67" i="4"/>
  <c r="J67" i="4"/>
  <c r="K67" i="4"/>
  <c r="C68" i="4"/>
  <c r="D68" i="4"/>
  <c r="E68" i="4"/>
  <c r="F68" i="4"/>
  <c r="G68" i="4"/>
  <c r="H68" i="4"/>
  <c r="I68" i="4"/>
  <c r="J68" i="4"/>
  <c r="K68" i="4"/>
  <c r="C69" i="4"/>
  <c r="D69" i="4"/>
  <c r="E69" i="4"/>
  <c r="F69" i="4"/>
  <c r="G69" i="4"/>
  <c r="H69" i="4"/>
  <c r="I69" i="4"/>
  <c r="J69" i="4"/>
  <c r="K69" i="4"/>
  <c r="C70" i="4"/>
  <c r="D70" i="4"/>
  <c r="E70" i="4"/>
  <c r="F70" i="4"/>
  <c r="G70" i="4"/>
  <c r="H70" i="4"/>
  <c r="I70" i="4"/>
  <c r="J70" i="4"/>
  <c r="K70" i="4"/>
  <c r="K71" i="4"/>
  <c r="C72" i="4"/>
  <c r="D72" i="4"/>
  <c r="E72" i="4"/>
  <c r="F72" i="4"/>
  <c r="G72" i="4"/>
  <c r="H72" i="4"/>
  <c r="I72" i="4"/>
  <c r="J72" i="4"/>
  <c r="K72" i="4"/>
  <c r="C73" i="4"/>
  <c r="D73" i="4"/>
  <c r="E73" i="4"/>
  <c r="F73" i="4"/>
  <c r="G73" i="4"/>
  <c r="H73" i="4"/>
  <c r="I73" i="4"/>
  <c r="J73" i="4"/>
  <c r="K73" i="4"/>
  <c r="C74" i="4"/>
  <c r="D74" i="4"/>
  <c r="E74" i="4"/>
  <c r="F74" i="4"/>
  <c r="G74" i="4"/>
  <c r="H74" i="4"/>
  <c r="I74" i="4"/>
  <c r="J74" i="4"/>
  <c r="K74" i="4"/>
  <c r="C75" i="4"/>
  <c r="D75" i="4"/>
  <c r="E75" i="4"/>
  <c r="F75" i="4"/>
  <c r="G75" i="4"/>
  <c r="H75" i="4"/>
  <c r="I75" i="4"/>
  <c r="J75" i="4"/>
  <c r="K75" i="4"/>
  <c r="C76" i="4"/>
  <c r="D76" i="4"/>
  <c r="E76" i="4"/>
  <c r="F76" i="4"/>
  <c r="G76" i="4"/>
  <c r="H76" i="4"/>
  <c r="I76" i="4"/>
  <c r="J76" i="4"/>
  <c r="K76" i="4"/>
  <c r="C77" i="4"/>
  <c r="D77" i="4"/>
  <c r="E77" i="4"/>
  <c r="F77" i="4"/>
  <c r="G77" i="4"/>
  <c r="H77" i="4"/>
  <c r="I77" i="4"/>
  <c r="J77" i="4"/>
  <c r="K77" i="4"/>
  <c r="C78" i="4"/>
  <c r="D78" i="4"/>
  <c r="E78" i="4"/>
  <c r="F78" i="4"/>
  <c r="G78" i="4"/>
  <c r="H78" i="4"/>
  <c r="I78" i="4"/>
  <c r="J78" i="4"/>
  <c r="K78" i="4"/>
  <c r="C79" i="4"/>
  <c r="D79" i="4"/>
  <c r="E79" i="4"/>
  <c r="F79" i="4"/>
  <c r="G79" i="4"/>
  <c r="H79" i="4"/>
  <c r="I79" i="4"/>
  <c r="J79" i="4"/>
  <c r="K79" i="4"/>
  <c r="C80" i="4"/>
  <c r="D80" i="4"/>
  <c r="E80" i="4"/>
  <c r="F80" i="4"/>
  <c r="G80" i="4"/>
  <c r="H80" i="4"/>
  <c r="I80" i="4"/>
  <c r="J80" i="4"/>
  <c r="K80" i="4"/>
  <c r="C81" i="4"/>
  <c r="D81" i="4"/>
  <c r="E81" i="4"/>
  <c r="F81" i="4"/>
  <c r="G81" i="4"/>
  <c r="H81" i="4"/>
  <c r="I81" i="4"/>
  <c r="J81" i="4"/>
  <c r="K81" i="4"/>
  <c r="C82" i="4"/>
  <c r="D82" i="4"/>
  <c r="E82" i="4"/>
  <c r="F82" i="4"/>
  <c r="G82" i="4"/>
  <c r="H82" i="4"/>
  <c r="I82" i="4"/>
  <c r="J82" i="4"/>
  <c r="K82" i="4"/>
  <c r="C83" i="4"/>
  <c r="D83" i="4"/>
  <c r="E83" i="4"/>
  <c r="F83" i="4"/>
  <c r="G83" i="4"/>
  <c r="H83" i="4"/>
  <c r="I83" i="4"/>
  <c r="J83" i="4"/>
  <c r="K83" i="4"/>
  <c r="C84" i="4"/>
  <c r="D84" i="4"/>
  <c r="E84" i="4"/>
  <c r="F84" i="4"/>
  <c r="G84" i="4"/>
  <c r="H84" i="4"/>
  <c r="I84" i="4"/>
  <c r="J84" i="4"/>
  <c r="K84" i="4"/>
  <c r="C85" i="4"/>
  <c r="D85" i="4"/>
  <c r="E85" i="4"/>
  <c r="F85" i="4"/>
  <c r="G85" i="4"/>
  <c r="H85" i="4"/>
  <c r="I85" i="4"/>
  <c r="J85" i="4"/>
  <c r="K85" i="4"/>
  <c r="C86" i="4"/>
  <c r="D86" i="4"/>
  <c r="E86" i="4"/>
  <c r="F86" i="4"/>
  <c r="G86" i="4"/>
  <c r="H86" i="4"/>
  <c r="I86" i="4"/>
  <c r="J86" i="4"/>
  <c r="K86" i="4"/>
  <c r="C87" i="4"/>
  <c r="D87" i="4"/>
  <c r="E87" i="4"/>
  <c r="F87" i="4"/>
  <c r="G87" i="4"/>
  <c r="H87" i="4"/>
  <c r="I87" i="4"/>
  <c r="J87" i="4"/>
  <c r="K87" i="4"/>
  <c r="C88" i="4"/>
  <c r="D88" i="4"/>
  <c r="E88" i="4"/>
  <c r="F88" i="4"/>
  <c r="G88" i="4"/>
  <c r="H88" i="4"/>
  <c r="I88" i="4"/>
  <c r="J88" i="4"/>
  <c r="K88" i="4"/>
  <c r="K89" i="4"/>
  <c r="C90" i="4"/>
  <c r="D90" i="4"/>
  <c r="E90" i="4"/>
  <c r="F90" i="4"/>
  <c r="G90" i="4"/>
  <c r="H90" i="4"/>
  <c r="I90" i="4"/>
  <c r="J90" i="4"/>
  <c r="K90" i="4"/>
  <c r="C91" i="4"/>
  <c r="D91" i="4"/>
  <c r="E91" i="4"/>
  <c r="F91" i="4"/>
  <c r="G91" i="4"/>
  <c r="H91" i="4"/>
  <c r="I91" i="4"/>
  <c r="J91" i="4"/>
  <c r="K91" i="4"/>
  <c r="C92" i="4"/>
  <c r="D92" i="4"/>
  <c r="E92" i="4"/>
  <c r="F92" i="4"/>
  <c r="G92" i="4"/>
  <c r="H92" i="4"/>
  <c r="I92" i="4"/>
  <c r="J92" i="4"/>
  <c r="K92" i="4"/>
  <c r="C93" i="4"/>
  <c r="D93" i="4"/>
  <c r="E93" i="4"/>
  <c r="F93" i="4"/>
  <c r="G93" i="4"/>
  <c r="H93" i="4"/>
  <c r="I93" i="4"/>
  <c r="J93" i="4"/>
  <c r="K93" i="4"/>
  <c r="C94" i="4"/>
  <c r="D94" i="4"/>
  <c r="E94" i="4"/>
  <c r="F94" i="4"/>
  <c r="G94" i="4"/>
  <c r="H94" i="4"/>
  <c r="I94" i="4"/>
  <c r="J94" i="4"/>
  <c r="K94" i="4"/>
  <c r="C95" i="4"/>
  <c r="D95" i="4"/>
  <c r="E95" i="4"/>
  <c r="F95" i="4"/>
  <c r="G95" i="4"/>
  <c r="H95" i="4"/>
  <c r="I95" i="4"/>
  <c r="J95" i="4"/>
  <c r="K95" i="4"/>
  <c r="C96" i="4"/>
  <c r="D96" i="4"/>
  <c r="E96" i="4"/>
  <c r="F96" i="4"/>
  <c r="G96" i="4"/>
  <c r="H96" i="4"/>
  <c r="I96" i="4"/>
  <c r="J96" i="4"/>
  <c r="K96" i="4"/>
  <c r="C97" i="4"/>
  <c r="D97" i="4"/>
  <c r="E97" i="4"/>
  <c r="F97" i="4"/>
  <c r="G97" i="4"/>
  <c r="H97" i="4"/>
  <c r="I97" i="4"/>
  <c r="J97" i="4"/>
  <c r="K97" i="4"/>
  <c r="C98" i="4"/>
  <c r="D98" i="4"/>
  <c r="E98" i="4"/>
  <c r="F98" i="4"/>
  <c r="G98" i="4"/>
  <c r="H98" i="4"/>
  <c r="I98" i="4"/>
  <c r="J98" i="4"/>
  <c r="K98" i="4"/>
  <c r="C99" i="4"/>
  <c r="D99" i="4"/>
  <c r="E99" i="4"/>
  <c r="F99" i="4"/>
  <c r="G99" i="4"/>
  <c r="H99" i="4"/>
  <c r="I99" i="4"/>
  <c r="J99" i="4"/>
  <c r="K99" i="4"/>
  <c r="C100" i="4"/>
  <c r="D100" i="4"/>
  <c r="E100" i="4"/>
  <c r="F100" i="4"/>
  <c r="G100" i="4"/>
  <c r="H100" i="4"/>
  <c r="I100" i="4"/>
  <c r="J100" i="4"/>
  <c r="K100" i="4"/>
  <c r="K101" i="4"/>
  <c r="C102" i="4"/>
  <c r="D102" i="4"/>
  <c r="E102" i="4"/>
  <c r="F102" i="4"/>
  <c r="G102" i="4"/>
  <c r="H102" i="4"/>
  <c r="I102" i="4"/>
  <c r="J102" i="4"/>
  <c r="K102" i="4"/>
  <c r="C103" i="4"/>
  <c r="D103" i="4"/>
  <c r="E103" i="4"/>
  <c r="F103" i="4"/>
  <c r="G103" i="4"/>
  <c r="H103" i="4"/>
  <c r="I103" i="4"/>
  <c r="J103" i="4"/>
  <c r="K103" i="4"/>
  <c r="C104" i="4"/>
  <c r="D104" i="4"/>
  <c r="E104" i="4"/>
  <c r="F104" i="4"/>
  <c r="G104" i="4"/>
  <c r="H104" i="4"/>
  <c r="I104" i="4"/>
  <c r="J104" i="4"/>
  <c r="K104" i="4"/>
  <c r="C105" i="4"/>
  <c r="D105" i="4"/>
  <c r="E105" i="4"/>
  <c r="F105" i="4"/>
  <c r="G105" i="4"/>
  <c r="H105" i="4"/>
  <c r="I105" i="4"/>
  <c r="J105" i="4"/>
  <c r="K105" i="4"/>
  <c r="K106" i="4"/>
  <c r="C107" i="4"/>
  <c r="D107" i="4"/>
  <c r="E107" i="4"/>
  <c r="F107" i="4"/>
  <c r="G107" i="4"/>
  <c r="H107" i="4"/>
  <c r="I107" i="4"/>
  <c r="J107" i="4"/>
  <c r="K107" i="4"/>
  <c r="B86" i="12"/>
  <c r="C86" i="12"/>
  <c r="D86" i="12"/>
  <c r="E86" i="12"/>
  <c r="Q4" i="13"/>
  <c r="R4" i="13"/>
  <c r="T4" i="13"/>
  <c r="U4" i="13"/>
  <c r="W4" i="13"/>
  <c r="X4" i="13"/>
  <c r="Z4" i="13"/>
  <c r="AA4" i="13"/>
  <c r="Q5" i="13"/>
  <c r="R5" i="13"/>
  <c r="T5" i="13"/>
  <c r="U5" i="13"/>
  <c r="W5" i="13"/>
  <c r="X5" i="13"/>
  <c r="Z5" i="13"/>
  <c r="AA5" i="13"/>
  <c r="Q6" i="13"/>
  <c r="R6" i="13"/>
  <c r="T6" i="13"/>
  <c r="U6" i="13"/>
  <c r="W6" i="13"/>
  <c r="X6" i="13"/>
  <c r="Z6" i="13"/>
  <c r="AA6" i="13"/>
  <c r="Q7" i="13"/>
  <c r="R7" i="13"/>
  <c r="T7" i="13"/>
  <c r="U7" i="13"/>
  <c r="W7" i="13"/>
  <c r="X7" i="13"/>
  <c r="Z7" i="13"/>
  <c r="AA7" i="13"/>
  <c r="Q8" i="13"/>
  <c r="R8" i="13"/>
  <c r="T8" i="13"/>
  <c r="U8" i="13"/>
  <c r="W8" i="13"/>
  <c r="X8" i="13"/>
  <c r="Z8" i="13"/>
  <c r="AA8" i="13"/>
  <c r="Q9" i="13"/>
  <c r="R9" i="13"/>
  <c r="T9" i="13"/>
  <c r="U9" i="13"/>
  <c r="W9" i="13"/>
  <c r="X9" i="13"/>
  <c r="Z9" i="13"/>
  <c r="AA9" i="13"/>
  <c r="Q10" i="13"/>
  <c r="R10" i="13"/>
  <c r="T10" i="13"/>
  <c r="U10" i="13"/>
  <c r="W10" i="13"/>
  <c r="X10" i="13"/>
  <c r="Z10" i="13"/>
  <c r="AA10" i="13"/>
  <c r="Q11" i="13"/>
  <c r="R11" i="13"/>
  <c r="T11" i="13"/>
  <c r="U11" i="13"/>
  <c r="W11" i="13"/>
  <c r="X11" i="13"/>
  <c r="Z11" i="13"/>
  <c r="AA11" i="13"/>
  <c r="Q12" i="13"/>
  <c r="R12" i="13"/>
  <c r="T12" i="13"/>
  <c r="U12" i="13"/>
  <c r="W12" i="13"/>
  <c r="X12" i="13"/>
  <c r="Z12" i="13"/>
  <c r="AA12" i="13"/>
  <c r="Q13" i="13"/>
  <c r="R13" i="13"/>
  <c r="T13" i="13"/>
  <c r="U13" i="13"/>
  <c r="W13" i="13"/>
  <c r="X13" i="13"/>
  <c r="Z13" i="13"/>
  <c r="AA13" i="13"/>
  <c r="Q14" i="13"/>
  <c r="R14" i="13"/>
  <c r="T14" i="13"/>
  <c r="U14" i="13"/>
  <c r="W14" i="13"/>
  <c r="X14" i="13"/>
  <c r="Z14" i="13"/>
  <c r="AA14" i="13"/>
  <c r="D15" i="13"/>
  <c r="G15" i="13"/>
  <c r="J15" i="13"/>
  <c r="M15" i="13"/>
  <c r="Q15" i="13"/>
  <c r="R15" i="13"/>
  <c r="T15" i="13"/>
  <c r="U15" i="13"/>
  <c r="W15" i="13"/>
  <c r="X15" i="13"/>
  <c r="Z15" i="13"/>
  <c r="AA15" i="13"/>
  <c r="Q22" i="13"/>
  <c r="R22" i="13"/>
  <c r="T22" i="13"/>
  <c r="U22" i="13"/>
  <c r="W22" i="13"/>
  <c r="X22" i="13"/>
  <c r="Z22" i="13"/>
  <c r="AA22" i="13"/>
  <c r="Q23" i="13"/>
  <c r="R23" i="13"/>
  <c r="T23" i="13"/>
  <c r="U23" i="13"/>
  <c r="W23" i="13"/>
  <c r="X23" i="13"/>
  <c r="Z23" i="13"/>
  <c r="AA23" i="13"/>
  <c r="Q24" i="13"/>
  <c r="R24" i="13"/>
  <c r="T24" i="13"/>
  <c r="U24" i="13"/>
  <c r="W24" i="13"/>
  <c r="X24" i="13"/>
  <c r="Z24" i="13"/>
  <c r="AA24" i="13"/>
  <c r="Q25" i="13"/>
  <c r="R25" i="13"/>
  <c r="T25" i="13"/>
  <c r="U25" i="13"/>
  <c r="W25" i="13"/>
  <c r="X25" i="13"/>
  <c r="Z25" i="13"/>
  <c r="AA25" i="13"/>
  <c r="Q26" i="13"/>
  <c r="R26" i="13"/>
  <c r="T26" i="13"/>
  <c r="U26" i="13"/>
  <c r="W26" i="13"/>
  <c r="X26" i="13"/>
  <c r="Z26" i="13"/>
  <c r="AA26" i="13"/>
  <c r="Q27" i="13"/>
  <c r="R27" i="13"/>
  <c r="T27" i="13"/>
  <c r="U27" i="13"/>
  <c r="W27" i="13"/>
  <c r="X27" i="13"/>
  <c r="Z27" i="13"/>
  <c r="AA27" i="13"/>
  <c r="Q28" i="13"/>
  <c r="R28" i="13"/>
  <c r="T28" i="13"/>
  <c r="U28" i="13"/>
  <c r="W28" i="13"/>
  <c r="X28" i="13"/>
  <c r="Z28" i="13"/>
  <c r="AA28" i="13"/>
  <c r="Q29" i="13"/>
  <c r="R29" i="13"/>
  <c r="T29" i="13"/>
  <c r="U29" i="13"/>
  <c r="W29" i="13"/>
  <c r="X29" i="13"/>
  <c r="Z29" i="13"/>
  <c r="AA29" i="13"/>
  <c r="Q30" i="13"/>
  <c r="R30" i="13"/>
  <c r="T30" i="13"/>
  <c r="U30" i="13"/>
  <c r="W30" i="13"/>
  <c r="X30" i="13"/>
  <c r="Z30" i="13"/>
  <c r="AA30" i="13"/>
  <c r="Q31" i="13"/>
  <c r="R31" i="13"/>
  <c r="T31" i="13"/>
  <c r="U31" i="13"/>
  <c r="W31" i="13"/>
  <c r="X31" i="13"/>
  <c r="Z31" i="13"/>
  <c r="AA31" i="13"/>
  <c r="Q32" i="13"/>
  <c r="R32" i="13"/>
  <c r="T32" i="13"/>
  <c r="U32" i="13"/>
  <c r="W32" i="13"/>
  <c r="X32" i="13"/>
  <c r="Z32" i="13"/>
  <c r="AA32" i="13"/>
  <c r="Q33" i="13"/>
  <c r="R33" i="13"/>
  <c r="T33" i="13"/>
  <c r="U33" i="13"/>
  <c r="W33" i="13"/>
  <c r="X33" i="13"/>
  <c r="Z33" i="13"/>
  <c r="AA33" i="13"/>
</calcChain>
</file>

<file path=xl/comments1.xml><?xml version="1.0" encoding="utf-8"?>
<comments xmlns="http://schemas.openxmlformats.org/spreadsheetml/2006/main">
  <authors>
    <author>Guy Ishikawa</author>
  </authors>
  <commentList>
    <comment ref="O5" authorId="0" shapeId="0">
      <text>
        <r>
          <rPr>
            <b/>
            <sz val="8"/>
            <color indexed="81"/>
            <rFont val="Tahoma"/>
          </rPr>
          <t>Guy Ishikawa:</t>
        </r>
        <r>
          <rPr>
            <sz val="8"/>
            <color indexed="81"/>
            <rFont val="Tahoma"/>
          </rPr>
          <t xml:space="preserve">
According Supply Database Angra I e II</t>
        </r>
      </text>
    </comment>
    <comment ref="O7" authorId="0" shapeId="0">
      <text>
        <r>
          <rPr>
            <b/>
            <sz val="8"/>
            <color indexed="81"/>
            <rFont val="Tahoma"/>
          </rPr>
          <t>Guy Ishikawa:</t>
        </r>
        <r>
          <rPr>
            <sz val="8"/>
            <color indexed="81"/>
            <rFont val="Tahoma"/>
          </rPr>
          <t xml:space="preserve">
According to supply data base -  Uruguaiana (Phase 1)</t>
        </r>
      </text>
    </comment>
  </commentList>
</comments>
</file>

<file path=xl/comments2.xml><?xml version="1.0" encoding="utf-8"?>
<comments xmlns="http://schemas.openxmlformats.org/spreadsheetml/2006/main">
  <authors>
    <author>Cecília Maria V.D.B. Mercio</author>
  </authors>
  <commentList>
    <comment ref="E21" authorId="0" shapeId="0">
      <text>
        <r>
          <rPr>
            <sz val="8"/>
            <color indexed="81"/>
            <rFont val="Tahoma"/>
          </rPr>
          <t>Valor d'Água Sudeste
Igual a TMO fora de ponta</t>
        </r>
      </text>
    </comment>
    <comment ref="K21" authorId="0" shapeId="0">
      <text>
        <r>
          <rPr>
            <sz val="8"/>
            <color indexed="81"/>
            <rFont val="Tahoma"/>
          </rPr>
          <t>Valor d'Água Sudeste
Igual a TMO fora de ponta</t>
        </r>
      </text>
    </comment>
  </commentList>
</comments>
</file>

<file path=xl/sharedStrings.xml><?xml version="1.0" encoding="utf-8"?>
<sst xmlns="http://schemas.openxmlformats.org/spreadsheetml/2006/main" count="769" uniqueCount="289">
  <si>
    <t>Itaipu 50 Hz</t>
  </si>
  <si>
    <t>Itaipu 60 Hz</t>
  </si>
  <si>
    <t>Itaipu</t>
  </si>
  <si>
    <t>VOLUME</t>
  </si>
  <si>
    <t>GRANDE</t>
  </si>
  <si>
    <t>FURNAS</t>
  </si>
  <si>
    <t>M.MORAES</t>
  </si>
  <si>
    <t>MARIMBONDO</t>
  </si>
  <si>
    <t>AGUA VERMELHA</t>
  </si>
  <si>
    <t>PARANAÍBA</t>
  </si>
  <si>
    <t>EMBORCAÇÃO</t>
  </si>
  <si>
    <t>NOVA PONTE</t>
  </si>
  <si>
    <t>ITUMBIARA</t>
  </si>
  <si>
    <t>SÃO SIMÃO</t>
  </si>
  <si>
    <t>PARANÁ</t>
  </si>
  <si>
    <t>ILHA SOLTEIRA</t>
  </si>
  <si>
    <t>JUPIÁ</t>
  </si>
  <si>
    <t>ITAIPU</t>
  </si>
  <si>
    <t>TIETE</t>
  </si>
  <si>
    <t>BARRA BONITA</t>
  </si>
  <si>
    <t>PROMISSÃO</t>
  </si>
  <si>
    <t>TRÊS IRMÃOS</t>
  </si>
  <si>
    <t>PARANAPANEMA</t>
  </si>
  <si>
    <t>JURUMIRIM</t>
  </si>
  <si>
    <t>CHAVANTES</t>
  </si>
  <si>
    <t>CAPIVARA</t>
  </si>
  <si>
    <t>IGUAÇU</t>
  </si>
  <si>
    <t>G.B.MUNHOZ</t>
  </si>
  <si>
    <t>SALTO SANTIAGO</t>
  </si>
  <si>
    <t>S.FRANCISCO</t>
  </si>
  <si>
    <t>TRES MARIAS</t>
  </si>
  <si>
    <t>SOBRADINHO</t>
  </si>
  <si>
    <t>LUIZ GONZAGA</t>
  </si>
  <si>
    <t>TOCANTINS</t>
  </si>
  <si>
    <t>SERRA DA MESA</t>
  </si>
  <si>
    <t>TUCURUI</t>
  </si>
  <si>
    <t>PCH CEB</t>
  </si>
  <si>
    <t>CAMARGOS</t>
  </si>
  <si>
    <t>G.AMORIM</t>
  </si>
  <si>
    <t>IGARAPAVA</t>
  </si>
  <si>
    <t>ITUTINGA</t>
  </si>
  <si>
    <t>JAGUARA</t>
  </si>
  <si>
    <t>MIRANDA</t>
  </si>
  <si>
    <t>PCH CEMIG</t>
  </si>
  <si>
    <t>S.GRANDE</t>
  </si>
  <si>
    <t>S.SIMÃO</t>
  </si>
  <si>
    <t>SOBRAGI</t>
  </si>
  <si>
    <t>Igarapé</t>
  </si>
  <si>
    <t>T.MARIAS</t>
  </si>
  <si>
    <t>V.GRANDE</t>
  </si>
  <si>
    <t>Piratininga</t>
  </si>
  <si>
    <t>PCH CELG</t>
  </si>
  <si>
    <t>PCH CPFL</t>
  </si>
  <si>
    <t>Campos</t>
  </si>
  <si>
    <t>PCH CERJ</t>
  </si>
  <si>
    <t>Sta Cruz</t>
  </si>
  <si>
    <t>A.VERMELHA</t>
  </si>
  <si>
    <t>B.BONITA</t>
  </si>
  <si>
    <t>Cuiabá</t>
  </si>
  <si>
    <t>BARIRI</t>
  </si>
  <si>
    <t>CACONDE</t>
  </si>
  <si>
    <t>P.Médici</t>
  </si>
  <si>
    <t>Figueira</t>
  </si>
  <si>
    <t>Alegrete</t>
  </si>
  <si>
    <t>CANOAS I</t>
  </si>
  <si>
    <t>Charqueadas</t>
  </si>
  <si>
    <t>CANOAS II</t>
  </si>
  <si>
    <t>J.Lacerda A</t>
  </si>
  <si>
    <t>J.Lacerda B</t>
  </si>
  <si>
    <t>E.CUNHA</t>
  </si>
  <si>
    <t>J.Lacerda C</t>
  </si>
  <si>
    <t>IBITINGA</t>
  </si>
  <si>
    <t>W.Arjona</t>
  </si>
  <si>
    <t>I.SOLTEIRA</t>
  </si>
  <si>
    <t>Nutepa</t>
  </si>
  <si>
    <t>JAGUARI</t>
  </si>
  <si>
    <t>S.Jerônimo</t>
  </si>
  <si>
    <t>JUPIA</t>
  </si>
  <si>
    <t>Uruguaiana</t>
  </si>
  <si>
    <t>Camaçari</t>
  </si>
  <si>
    <t>LIMOEIRO</t>
  </si>
  <si>
    <t>N. AVANHAN</t>
  </si>
  <si>
    <t>PARAIBUNA</t>
  </si>
  <si>
    <t>P.PRIMAVERA</t>
  </si>
  <si>
    <t>ROSANA</t>
  </si>
  <si>
    <t>S. GRANDE</t>
  </si>
  <si>
    <t>TAQUARUÇU</t>
  </si>
  <si>
    <t>T.IRMÃOS</t>
  </si>
  <si>
    <t>PCH CEMAT</t>
  </si>
  <si>
    <t>MASCARENHAS</t>
  </si>
  <si>
    <t>H.BORDEN Ext</t>
  </si>
  <si>
    <t>H.BORDEN Sub.</t>
  </si>
  <si>
    <t>PCH EPAULO</t>
  </si>
  <si>
    <t>P.COLOMBIA</t>
  </si>
  <si>
    <t>FUNIL</t>
  </si>
  <si>
    <t>ESTREITO</t>
  </si>
  <si>
    <t>S. MESA</t>
  </si>
  <si>
    <t>C.DOURADA</t>
  </si>
  <si>
    <t>FONTES</t>
  </si>
  <si>
    <t>I. POMBOS</t>
  </si>
  <si>
    <t>N.PEÇANHA</t>
  </si>
  <si>
    <t>P.PASSOS</t>
  </si>
  <si>
    <t>STA BRANCA</t>
  </si>
  <si>
    <t>PCH CEEE</t>
  </si>
  <si>
    <t>CANASTRA</t>
  </si>
  <si>
    <t>ITAUBA</t>
  </si>
  <si>
    <t>JACUI</t>
  </si>
  <si>
    <t>PASSO REAL</t>
  </si>
  <si>
    <t>GBM</t>
  </si>
  <si>
    <t>GPS</t>
  </si>
  <si>
    <t>S.CAXIAS</t>
  </si>
  <si>
    <t>SEGREDO</t>
  </si>
  <si>
    <t>P.FUNDO</t>
  </si>
  <si>
    <t>S.OSÓRIO</t>
  </si>
  <si>
    <t>S.SANTIAGO</t>
  </si>
  <si>
    <t>PCH ENERSUL</t>
  </si>
  <si>
    <t>ITAIPU 50 Hz</t>
  </si>
  <si>
    <t>ITAIPU 60 Hz</t>
  </si>
  <si>
    <t>PCH CHESF</t>
  </si>
  <si>
    <t>A SALLES</t>
  </si>
  <si>
    <t>B. ESPERANÇA</t>
  </si>
  <si>
    <t>L.GONZAGA</t>
  </si>
  <si>
    <t>P.AFONSO 1</t>
  </si>
  <si>
    <t>P.AFONSO 2</t>
  </si>
  <si>
    <t>P.AFONSO 3</t>
  </si>
  <si>
    <t>P.AFONSO 4</t>
  </si>
  <si>
    <t>XINGÓ</t>
  </si>
  <si>
    <t>TUCURUÍ</t>
  </si>
  <si>
    <t>%</t>
  </si>
  <si>
    <t>S</t>
  </si>
  <si>
    <t>N</t>
  </si>
  <si>
    <t>NE</t>
  </si>
  <si>
    <t>JAN</t>
  </si>
  <si>
    <t>MAR</t>
  </si>
  <si>
    <t>JUN</t>
  </si>
  <si>
    <t>JUL</t>
  </si>
  <si>
    <t>NOV</t>
  </si>
  <si>
    <t>Southeast</t>
  </si>
  <si>
    <t>South</t>
  </si>
  <si>
    <t>Itens</t>
  </si>
  <si>
    <t>Actual</t>
  </si>
  <si>
    <t>Dif %</t>
  </si>
  <si>
    <t>Northeast</t>
  </si>
  <si>
    <t>Hydro Gen</t>
  </si>
  <si>
    <t>Thermo Gen</t>
  </si>
  <si>
    <t>Angra Gen</t>
  </si>
  <si>
    <t>Total Gen</t>
  </si>
  <si>
    <t>Load</t>
  </si>
  <si>
    <t>SOUTH + SOUTHEAST</t>
  </si>
  <si>
    <t>Month</t>
  </si>
  <si>
    <t>FEB</t>
  </si>
  <si>
    <t>APR</t>
  </si>
  <si>
    <t>MAY</t>
  </si>
  <si>
    <t>AUG</t>
  </si>
  <si>
    <t>SEP</t>
  </si>
  <si>
    <t>OCT</t>
  </si>
  <si>
    <t>DEC</t>
  </si>
  <si>
    <t>NORTH + NORTHEAST</t>
  </si>
  <si>
    <t>Dif(%)</t>
  </si>
  <si>
    <t>LEVEL (m)</t>
  </si>
  <si>
    <t>Midwest</t>
  </si>
  <si>
    <t>FLOW - M3/S</t>
  </si>
  <si>
    <t>INFLOW</t>
  </si>
  <si>
    <t>OUTFLOW</t>
  </si>
  <si>
    <t>Interconnected System</t>
  </si>
  <si>
    <t>Thermo Generation - GWh</t>
  </si>
  <si>
    <t>Hydro Generation - GWh</t>
  </si>
  <si>
    <t>(%)</t>
  </si>
  <si>
    <t>SHED</t>
  </si>
  <si>
    <t>RIVER</t>
  </si>
  <si>
    <t>Plant</t>
  </si>
  <si>
    <t>System</t>
  </si>
  <si>
    <t>Hydro</t>
  </si>
  <si>
    <t>Thermo</t>
  </si>
  <si>
    <t>Total</t>
  </si>
  <si>
    <t xml:space="preserve"> 12:00 PM</t>
  </si>
  <si>
    <t>SOUTHEAST</t>
  </si>
  <si>
    <t>SOUTH</t>
  </si>
  <si>
    <t>NORTHEAST</t>
  </si>
  <si>
    <t>Schedule</t>
  </si>
  <si>
    <t>Inst Cap</t>
  </si>
  <si>
    <t>Dif (MW)</t>
  </si>
  <si>
    <t xml:space="preserve">Exc Inst Cap </t>
  </si>
  <si>
    <t>Exc Av Cap</t>
  </si>
  <si>
    <t>TOTAL</t>
  </si>
  <si>
    <t>Availab Cap</t>
  </si>
  <si>
    <t>Cost(R$/MWh)</t>
  </si>
  <si>
    <t>PCH ESCELSA</t>
  </si>
  <si>
    <t>CORUMBÁ</t>
  </si>
  <si>
    <t>Carioba</t>
  </si>
  <si>
    <t>H.BORDEN Sub</t>
  </si>
  <si>
    <t>APOLÔNIO SALLES</t>
  </si>
  <si>
    <t>BOA ESPERANÇA</t>
  </si>
  <si>
    <t>LUIS GONZAGA</t>
  </si>
  <si>
    <t>PCH CELESC</t>
  </si>
  <si>
    <t>PCH ESCELSA (*)</t>
  </si>
  <si>
    <t>PUS CEB</t>
  </si>
  <si>
    <t>PUS CELG</t>
  </si>
  <si>
    <t>PUS CEMAT</t>
  </si>
  <si>
    <t>PUS ENERSUL</t>
  </si>
  <si>
    <t>S.BRANCA</t>
  </si>
  <si>
    <t>S.OSORIO</t>
  </si>
  <si>
    <t>SERRA MESA</t>
  </si>
  <si>
    <t xml:space="preserve">CORUMBÁ </t>
  </si>
  <si>
    <t>Angra</t>
  </si>
  <si>
    <t>SÃO JERÔNIMO</t>
  </si>
  <si>
    <t>AUX. TUCURUI</t>
  </si>
  <si>
    <t>Carioba*</t>
  </si>
  <si>
    <t>ENA</t>
  </si>
  <si>
    <t>%MLT</t>
  </si>
  <si>
    <t>EAR</t>
  </si>
  <si>
    <t>North</t>
  </si>
  <si>
    <t>Legend</t>
  </si>
  <si>
    <t>ENA (Energia Natural Afluente as of % Média Longo Termo)</t>
  </si>
  <si>
    <t>EAR (Energia Armazenada)</t>
  </si>
  <si>
    <t>CURUA-UNA</t>
  </si>
  <si>
    <t>CURUÁ-UNA</t>
  </si>
  <si>
    <t>PCH COPEL</t>
  </si>
  <si>
    <t>NET INFLOW</t>
  </si>
  <si>
    <t>Interc. SE to S</t>
  </si>
  <si>
    <t>Interc. SE to N</t>
  </si>
  <si>
    <t>Interc. SE to NE</t>
  </si>
  <si>
    <t>Interc S to SE</t>
  </si>
  <si>
    <t>Interc. N to NE</t>
  </si>
  <si>
    <t>Interc. N to SE</t>
  </si>
  <si>
    <t>Interc. NE to N</t>
  </si>
  <si>
    <t>Interc. NE to SE</t>
  </si>
  <si>
    <t>SE + MW</t>
  </si>
  <si>
    <t>S + SE + MW</t>
  </si>
  <si>
    <t>N + NE</t>
  </si>
  <si>
    <t>Paraguai to Copel</t>
  </si>
  <si>
    <t>Argentina to Eletrosul</t>
  </si>
  <si>
    <t>5 - Reservoir Levels</t>
  </si>
  <si>
    <t>6 - Historical Generation</t>
  </si>
  <si>
    <t>7 - Storage Energy (%)</t>
  </si>
  <si>
    <t>8 - Historical Load - GWh</t>
  </si>
  <si>
    <t>9 - Generation</t>
  </si>
  <si>
    <t>9.1. Hydro generation and availability per plant</t>
  </si>
  <si>
    <t>9.2. Thermo generation</t>
  </si>
  <si>
    <t>Intern. Interc. to S</t>
  </si>
  <si>
    <t>ITÁ</t>
  </si>
  <si>
    <t xml:space="preserve"> Southeast</t>
  </si>
  <si>
    <t xml:space="preserve"> South</t>
  </si>
  <si>
    <t xml:space="preserve"> Northeast</t>
  </si>
  <si>
    <t xml:space="preserve"> North</t>
  </si>
  <si>
    <t>Note:  PCH Escelsa includes 40 MW from auto producers</t>
  </si>
  <si>
    <t>Generation</t>
  </si>
  <si>
    <t>EAR (MW)</t>
  </si>
  <si>
    <t>North Submarket</t>
  </si>
  <si>
    <t>Max EAR (MW)</t>
  </si>
  <si>
    <t>(% National System)</t>
  </si>
  <si>
    <t>South Submarket</t>
  </si>
  <si>
    <t>Northeast Submarket</t>
  </si>
  <si>
    <t>Southeast Submarket</t>
  </si>
  <si>
    <t>Check</t>
  </si>
  <si>
    <t>TMO (Tarifa Marginal da Operação - R$)</t>
  </si>
  <si>
    <t>DO NOT PRINT THIS CHECK LIST</t>
  </si>
  <si>
    <t>1 - Balance of Energy - Average MW</t>
  </si>
  <si>
    <t>NORTH *</t>
  </si>
  <si>
    <t>* North submarket is unbalanced due to an inconsistency in ONS report</t>
  </si>
  <si>
    <t>Heavy load price</t>
  </si>
  <si>
    <t>Medium load price</t>
  </si>
  <si>
    <t xml:space="preserve">     Light load price</t>
  </si>
  <si>
    <t>SUB-TOTAL</t>
  </si>
  <si>
    <t>Heavy</t>
  </si>
  <si>
    <t>Medium</t>
  </si>
  <si>
    <t>Light</t>
  </si>
  <si>
    <t>1999</t>
  </si>
  <si>
    <t xml:space="preserve">      Heavy Load</t>
  </si>
  <si>
    <t xml:space="preserve">      Light Load</t>
  </si>
  <si>
    <t xml:space="preserve">                      Average</t>
  </si>
  <si>
    <t xml:space="preserve">                  Medium Load</t>
  </si>
  <si>
    <t>2 - Available generation per system (MW)</t>
  </si>
  <si>
    <t>4 - Transmission Capacity (MW)</t>
  </si>
  <si>
    <t>SE</t>
  </si>
  <si>
    <t>MANSO</t>
  </si>
  <si>
    <t>Uruguaiana***</t>
  </si>
  <si>
    <t>BRAZIL POWER TRADING AND RISK MANAGEMENT DAILY REPORT</t>
  </si>
  <si>
    <t>3 - International Interconnections (MW)</t>
  </si>
  <si>
    <t xml:space="preserve">           PCH Copel includes 47 MW from Acaray</t>
  </si>
  <si>
    <t xml:space="preserve"> Date as of January 17, 2001</t>
  </si>
  <si>
    <t>EAR (Storage Energy)</t>
  </si>
  <si>
    <t>1998</t>
  </si>
  <si>
    <t>-</t>
  </si>
  <si>
    <t>EAR (Storage Energy - YoY change)</t>
  </si>
  <si>
    <t>ENA (Water Inflow - YoY change)</t>
  </si>
  <si>
    <t>ENA (Water Inflow as a % of MLT)</t>
  </si>
  <si>
    <t>Note: Angra considers both Angra I and II thermoplants</t>
  </si>
  <si>
    <t xml:space="preserve">          Includes 200 MW of Uruguaiana thermoplant (unit 3) on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</si>
</sst>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"/>
    <numFmt numFmtId="171" formatCode="_(* #,##0_);_(* \(#,##0\);_(* &quot;-&quot;??_);_(@_)"/>
    <numFmt numFmtId="174" formatCode="mmmm\ d\,\ yyyy"/>
    <numFmt numFmtId="186" formatCode="_(&quot;R$&quot;* #,##0_);_(&quot;R$&quot;* \(#,##0\);_(&quot;R$&quot;* &quot;-&quot;_);_(@_)"/>
    <numFmt numFmtId="187" formatCode="_(&quot;R$&quot;* #,##0.00_);_(&quot;R$&quot;* \(#,##0.00\);_(&quot;R$&quot;* &quot;-&quot;??_);_(@_)"/>
    <numFmt numFmtId="189" formatCode="0.0%"/>
  </numFmts>
  <fonts count="2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color indexed="56"/>
      <name val="Arial"/>
      <family val="2"/>
    </font>
    <font>
      <b/>
      <sz val="8"/>
      <color indexed="56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8"/>
      <color indexed="12"/>
      <name val="Arial"/>
      <family val="2"/>
    </font>
    <font>
      <b/>
      <sz val="8"/>
      <color indexed="10"/>
      <name val="Arial"/>
      <family val="2"/>
    </font>
    <font>
      <i/>
      <u/>
      <sz val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6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applyBorder="1"/>
    <xf numFmtId="0" fontId="5" fillId="0" borderId="0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2" fillId="0" borderId="0" xfId="0" applyFont="1" applyBorder="1"/>
    <xf numFmtId="2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8" fillId="0" borderId="0" xfId="0" applyNumberFormat="1" applyFont="1" applyFill="1" applyBorder="1" applyAlignment="1">
      <alignment horizontal="center"/>
    </xf>
    <xf numFmtId="9" fontId="8" fillId="0" borderId="1" xfId="2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2" fontId="8" fillId="0" borderId="0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3" fontId="0" fillId="0" borderId="0" xfId="0" applyNumberFormat="1"/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4" fillId="0" borderId="2" xfId="0" quotePrefix="1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189" fontId="1" fillId="0" borderId="0" xfId="2" applyNumberFormat="1" applyAlignment="1">
      <alignment horizontal="center"/>
    </xf>
    <xf numFmtId="17" fontId="0" fillId="0" borderId="0" xfId="0" applyNumberFormat="1" applyAlignment="1">
      <alignment horizontal="center"/>
    </xf>
    <xf numFmtId="9" fontId="1" fillId="0" borderId="0" xfId="2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9" fontId="9" fillId="0" borderId="13" xfId="2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5" fillId="0" borderId="15" xfId="0" applyFont="1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 applyAlignment="1">
      <alignment horizontal="center"/>
    </xf>
    <xf numFmtId="4" fontId="8" fillId="0" borderId="1" xfId="0" applyNumberFormat="1" applyFont="1" applyFill="1" applyBorder="1"/>
    <xf numFmtId="0" fontId="2" fillId="0" borderId="22" xfId="0" applyFont="1" applyBorder="1"/>
    <xf numFmtId="164" fontId="10" fillId="0" borderId="0" xfId="0" applyNumberFormat="1" applyFont="1" applyAlignment="1">
      <alignment horizontal="right"/>
    </xf>
    <xf numFmtId="0" fontId="10" fillId="0" borderId="0" xfId="0" applyFont="1"/>
    <xf numFmtId="0" fontId="0" fillId="0" borderId="0" xfId="0" applyFill="1" applyBorder="1"/>
    <xf numFmtId="9" fontId="2" fillId="0" borderId="0" xfId="2" applyFont="1" applyFill="1" applyBorder="1"/>
    <xf numFmtId="49" fontId="6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71" fontId="2" fillId="0" borderId="0" xfId="1" applyNumberFormat="1" applyFont="1" applyFill="1" applyBorder="1" applyAlignment="1">
      <alignment horizontal="right"/>
    </xf>
    <xf numFmtId="171" fontId="2" fillId="0" borderId="1" xfId="1" applyNumberFormat="1" applyFont="1" applyFill="1" applyBorder="1" applyAlignment="1"/>
    <xf numFmtId="0" fontId="0" fillId="0" borderId="4" xfId="0" applyBorder="1"/>
    <xf numFmtId="38" fontId="0" fillId="0" borderId="0" xfId="0" applyNumberFormat="1"/>
    <xf numFmtId="0" fontId="0" fillId="0" borderId="0" xfId="0" applyAlignment="1">
      <alignment horizontal="left"/>
    </xf>
    <xf numFmtId="189" fontId="0" fillId="0" borderId="0" xfId="2" applyNumberFormat="1" applyFont="1" applyAlignment="1">
      <alignment horizontal="center"/>
    </xf>
    <xf numFmtId="3" fontId="0" fillId="0" borderId="0" xfId="1" applyNumberFormat="1" applyFont="1" applyAlignment="1">
      <alignment horizontal="center"/>
    </xf>
    <xf numFmtId="0" fontId="17" fillId="0" borderId="0" xfId="0" applyFont="1"/>
    <xf numFmtId="43" fontId="18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89" fontId="17" fillId="0" borderId="0" xfId="2" applyNumberFormat="1" applyFont="1" applyAlignment="1">
      <alignment horizontal="center"/>
    </xf>
    <xf numFmtId="3" fontId="17" fillId="0" borderId="0" xfId="1" applyNumberFormat="1" applyFont="1" applyAlignment="1">
      <alignment horizontal="center"/>
    </xf>
    <xf numFmtId="43" fontId="18" fillId="0" borderId="0" xfId="1" applyFont="1"/>
    <xf numFmtId="0" fontId="17" fillId="0" borderId="0" xfId="0" applyFont="1" applyBorder="1"/>
    <xf numFmtId="0" fontId="10" fillId="0" borderId="11" xfId="0" applyFont="1" applyBorder="1"/>
    <xf numFmtId="0" fontId="10" fillId="0" borderId="17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19" xfId="0" applyFont="1" applyBorder="1"/>
    <xf numFmtId="189" fontId="10" fillId="0" borderId="20" xfId="0" applyNumberFormat="1" applyFont="1" applyBorder="1" applyAlignment="1">
      <alignment horizontal="center"/>
    </xf>
    <xf numFmtId="0" fontId="9" fillId="0" borderId="15" xfId="0" applyFont="1" applyBorder="1"/>
    <xf numFmtId="0" fontId="16" fillId="0" borderId="3" xfId="0" applyFont="1" applyBorder="1"/>
    <xf numFmtId="0" fontId="19" fillId="0" borderId="0" xfId="0" applyFont="1"/>
    <xf numFmtId="0" fontId="0" fillId="0" borderId="0" xfId="0" applyBorder="1" applyAlignment="1">
      <alignment horizontal="left"/>
    </xf>
    <xf numFmtId="0" fontId="4" fillId="0" borderId="0" xfId="0" applyFont="1" applyFill="1" applyBorder="1"/>
    <xf numFmtId="38" fontId="2" fillId="0" borderId="0" xfId="0" applyNumberFormat="1" applyFont="1" applyFill="1" applyBorder="1"/>
    <xf numFmtId="38" fontId="2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189" fontId="0" fillId="0" borderId="0" xfId="2" applyNumberFormat="1" applyFont="1"/>
    <xf numFmtId="9" fontId="0" fillId="0" borderId="0" xfId="2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89" fontId="1" fillId="0" borderId="0" xfId="2" applyNumberFormat="1" applyBorder="1" applyAlignment="1">
      <alignment horizontal="center"/>
    </xf>
    <xf numFmtId="0" fontId="8" fillId="0" borderId="0" xfId="0" applyFont="1" applyFill="1" applyBorder="1"/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89" fontId="10" fillId="0" borderId="0" xfId="2" applyNumberFormat="1" applyFont="1" applyFill="1" applyAlignment="1">
      <alignment horizontal="center"/>
    </xf>
    <xf numFmtId="189" fontId="10" fillId="0" borderId="0" xfId="2" applyNumberFormat="1" applyFont="1" applyAlignment="1">
      <alignment horizontal="center"/>
    </xf>
    <xf numFmtId="9" fontId="0" fillId="0" borderId="0" xfId="2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right"/>
    </xf>
    <xf numFmtId="0" fontId="2" fillId="0" borderId="2" xfId="0" applyFont="1" applyFill="1" applyBorder="1"/>
    <xf numFmtId="43" fontId="1" fillId="0" borderId="0" xfId="1" applyAlignment="1">
      <alignment horizont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6" xfId="0" applyFont="1" applyFill="1" applyBorder="1"/>
    <xf numFmtId="0" fontId="8" fillId="3" borderId="23" xfId="0" applyFont="1" applyFill="1" applyBorder="1" applyAlignment="1">
      <alignment horizontal="center"/>
    </xf>
    <xf numFmtId="3" fontId="8" fillId="0" borderId="24" xfId="0" applyNumberFormat="1" applyFont="1" applyFill="1" applyBorder="1" applyAlignment="1">
      <alignment horizontal="right"/>
    </xf>
    <xf numFmtId="3" fontId="8" fillId="0" borderId="25" xfId="0" applyNumberFormat="1" applyFont="1" applyFill="1" applyBorder="1" applyAlignment="1">
      <alignment horizontal="right"/>
    </xf>
    <xf numFmtId="164" fontId="8" fillId="0" borderId="26" xfId="0" applyNumberFormat="1" applyFont="1" applyFill="1" applyBorder="1" applyAlignment="1">
      <alignment horizontal="right"/>
    </xf>
    <xf numFmtId="3" fontId="8" fillId="0" borderId="27" xfId="0" applyNumberFormat="1" applyFont="1" applyFill="1" applyBorder="1" applyAlignment="1">
      <alignment horizontal="right"/>
    </xf>
    <xf numFmtId="3" fontId="8" fillId="0" borderId="28" xfId="0" applyNumberFormat="1" applyFont="1" applyFill="1" applyBorder="1" applyAlignment="1">
      <alignment horizontal="right"/>
    </xf>
    <xf numFmtId="164" fontId="8" fillId="0" borderId="29" xfId="0" applyNumberFormat="1" applyFont="1" applyFill="1" applyBorder="1" applyAlignment="1">
      <alignment horizontal="right"/>
    </xf>
    <xf numFmtId="0" fontId="8" fillId="3" borderId="30" xfId="0" applyFont="1" applyFill="1" applyBorder="1"/>
    <xf numFmtId="0" fontId="8" fillId="3" borderId="31" xfId="0" applyFont="1" applyFill="1" applyBorder="1"/>
    <xf numFmtId="0" fontId="8" fillId="3" borderId="31" xfId="0" applyFont="1" applyFill="1" applyBorder="1" applyAlignment="1">
      <alignment horizontal="left"/>
    </xf>
    <xf numFmtId="0" fontId="8" fillId="3" borderId="31" xfId="0" quotePrefix="1" applyFont="1" applyFill="1" applyBorder="1" applyAlignment="1">
      <alignment horizontal="left"/>
    </xf>
    <xf numFmtId="0" fontId="8" fillId="3" borderId="32" xfId="0" quotePrefix="1" applyFont="1" applyFill="1" applyBorder="1" applyAlignment="1">
      <alignment horizontal="left"/>
    </xf>
    <xf numFmtId="3" fontId="8" fillId="0" borderId="33" xfId="0" applyNumberFormat="1" applyFont="1" applyFill="1" applyBorder="1" applyAlignment="1">
      <alignment horizontal="right"/>
    </xf>
    <xf numFmtId="3" fontId="8" fillId="0" borderId="34" xfId="0" applyNumberFormat="1" applyFont="1" applyFill="1" applyBorder="1" applyAlignment="1">
      <alignment horizontal="right"/>
    </xf>
    <xf numFmtId="164" fontId="8" fillId="0" borderId="35" xfId="0" applyNumberFormat="1" applyFont="1" applyFill="1" applyBorder="1" applyAlignment="1">
      <alignment horizontal="right"/>
    </xf>
    <xf numFmtId="0" fontId="8" fillId="3" borderId="36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0" fontId="8" fillId="0" borderId="2" xfId="0" quotePrefix="1" applyFont="1" applyFill="1" applyBorder="1" applyAlignment="1">
      <alignment horizontal="left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8" fillId="0" borderId="39" xfId="0" applyNumberFormat="1" applyFont="1" applyFill="1" applyBorder="1" applyAlignment="1">
      <alignment horizontal="right"/>
    </xf>
    <xf numFmtId="3" fontId="8" fillId="0" borderId="21" xfId="0" applyNumberFormat="1" applyFont="1" applyFill="1" applyBorder="1" applyAlignment="1">
      <alignment horizontal="right"/>
    </xf>
    <xf numFmtId="3" fontId="8" fillId="0" borderId="40" xfId="0" applyNumberFormat="1" applyFont="1" applyFill="1" applyBorder="1" applyAlignment="1">
      <alignment horizontal="right"/>
    </xf>
    <xf numFmtId="0" fontId="8" fillId="3" borderId="41" xfId="0" applyFont="1" applyFill="1" applyBorder="1"/>
    <xf numFmtId="0" fontId="8" fillId="3" borderId="42" xfId="0" applyFont="1" applyFill="1" applyBorder="1" applyAlignment="1">
      <alignment horizontal="center"/>
    </xf>
    <xf numFmtId="3" fontId="8" fillId="0" borderId="25" xfId="0" quotePrefix="1" applyNumberFormat="1" applyFont="1" applyFill="1" applyBorder="1" applyAlignment="1">
      <alignment horizontal="right"/>
    </xf>
    <xf numFmtId="1" fontId="8" fillId="3" borderId="43" xfId="0" applyNumberFormat="1" applyFont="1" applyFill="1" applyBorder="1"/>
    <xf numFmtId="1" fontId="8" fillId="3" borderId="44" xfId="0" applyNumberFormat="1" applyFont="1" applyFill="1" applyBorder="1"/>
    <xf numFmtId="1" fontId="8" fillId="3" borderId="12" xfId="0" quotePrefix="1" applyNumberFormat="1" applyFont="1" applyFill="1" applyBorder="1" applyAlignment="1">
      <alignment horizontal="left"/>
    </xf>
    <xf numFmtId="3" fontId="8" fillId="0" borderId="30" xfId="0" applyNumberFormat="1" applyFont="1" applyFill="1" applyBorder="1"/>
    <xf numFmtId="3" fontId="8" fillId="0" borderId="31" xfId="0" applyNumberFormat="1" applyFont="1" applyFill="1" applyBorder="1"/>
    <xf numFmtId="3" fontId="8" fillId="0" borderId="32" xfId="0" applyNumberFormat="1" applyFont="1" applyFill="1" applyBorder="1"/>
    <xf numFmtId="0" fontId="9" fillId="2" borderId="43" xfId="0" applyFont="1" applyFill="1" applyBorder="1" applyAlignment="1">
      <alignment horizontal="left"/>
    </xf>
    <xf numFmtId="0" fontId="9" fillId="2" borderId="45" xfId="0" applyFont="1" applyFill="1" applyBorder="1" applyAlignment="1">
      <alignment horizontal="left"/>
    </xf>
    <xf numFmtId="0" fontId="10" fillId="2" borderId="46" xfId="0" applyFont="1" applyFill="1" applyBorder="1"/>
    <xf numFmtId="0" fontId="10" fillId="2" borderId="47" xfId="0" applyFont="1" applyFill="1" applyBorder="1"/>
    <xf numFmtId="171" fontId="8" fillId="0" borderId="21" xfId="1" applyNumberFormat="1" applyFont="1" applyFill="1" applyBorder="1" applyAlignment="1">
      <alignment horizontal="right"/>
    </xf>
    <xf numFmtId="171" fontId="8" fillId="0" borderId="34" xfId="1" applyNumberFormat="1" applyFont="1" applyFill="1" applyBorder="1" applyAlignment="1">
      <alignment horizontal="right"/>
    </xf>
    <xf numFmtId="171" fontId="8" fillId="0" borderId="35" xfId="1" applyNumberFormat="1" applyFont="1" applyFill="1" applyBorder="1" applyAlignment="1"/>
    <xf numFmtId="171" fontId="8" fillId="0" borderId="39" xfId="1" applyNumberFormat="1" applyFont="1" applyFill="1" applyBorder="1" applyAlignment="1">
      <alignment horizontal="right"/>
    </xf>
    <xf numFmtId="171" fontId="8" fillId="0" borderId="25" xfId="1" applyNumberFormat="1" applyFont="1" applyFill="1" applyBorder="1" applyAlignment="1">
      <alignment horizontal="right"/>
    </xf>
    <xf numFmtId="171" fontId="8" fillId="0" borderId="26" xfId="1" applyNumberFormat="1" applyFont="1" applyFill="1" applyBorder="1" applyAlignment="1"/>
    <xf numFmtId="37" fontId="8" fillId="0" borderId="25" xfId="1" applyNumberFormat="1" applyFont="1" applyFill="1" applyBorder="1" applyAlignment="1">
      <alignment horizontal="right"/>
    </xf>
    <xf numFmtId="171" fontId="8" fillId="0" borderId="40" xfId="1" applyNumberFormat="1" applyFont="1" applyFill="1" applyBorder="1" applyAlignment="1">
      <alignment horizontal="right"/>
    </xf>
    <xf numFmtId="171" fontId="8" fillId="0" borderId="28" xfId="1" applyNumberFormat="1" applyFont="1" applyFill="1" applyBorder="1" applyAlignment="1">
      <alignment horizontal="right"/>
    </xf>
    <xf numFmtId="171" fontId="8" fillId="0" borderId="29" xfId="1" applyNumberFormat="1" applyFont="1" applyFill="1" applyBorder="1" applyAlignment="1"/>
    <xf numFmtId="164" fontId="8" fillId="3" borderId="23" xfId="0" applyNumberFormat="1" applyFont="1" applyFill="1" applyBorder="1" applyAlignment="1">
      <alignment horizontal="centerContinuous"/>
    </xf>
    <xf numFmtId="164" fontId="8" fillId="3" borderId="41" xfId="0" applyNumberFormat="1" applyFont="1" applyFill="1" applyBorder="1" applyAlignment="1">
      <alignment horizontal="left"/>
    </xf>
    <xf numFmtId="164" fontId="8" fillId="3" borderId="31" xfId="0" quotePrefix="1" applyNumberFormat="1" applyFont="1" applyFill="1" applyBorder="1" applyAlignment="1">
      <alignment horizontal="left"/>
    </xf>
    <xf numFmtId="164" fontId="8" fillId="3" borderId="31" xfId="0" applyNumberFormat="1" applyFont="1" applyFill="1" applyBorder="1" applyAlignment="1">
      <alignment horizontal="left"/>
    </xf>
    <xf numFmtId="164" fontId="8" fillId="3" borderId="32" xfId="0" applyNumberFormat="1" applyFont="1" applyFill="1" applyBorder="1" applyAlignment="1">
      <alignment horizontal="right"/>
    </xf>
    <xf numFmtId="164" fontId="8" fillId="3" borderId="42" xfId="0" applyNumberFormat="1" applyFont="1" applyFill="1" applyBorder="1" applyAlignment="1">
      <alignment horizontal="center"/>
    </xf>
    <xf numFmtId="164" fontId="8" fillId="3" borderId="37" xfId="0" applyNumberFormat="1" applyFont="1" applyFill="1" applyBorder="1" applyAlignment="1">
      <alignment horizontal="center"/>
    </xf>
    <xf numFmtId="164" fontId="8" fillId="3" borderId="38" xfId="0" applyNumberFormat="1" applyFont="1" applyFill="1" applyBorder="1" applyAlignment="1">
      <alignment horizontal="center"/>
    </xf>
    <xf numFmtId="0" fontId="8" fillId="3" borderId="48" xfId="0" applyFont="1" applyFill="1" applyBorder="1"/>
    <xf numFmtId="0" fontId="8" fillId="3" borderId="49" xfId="0" applyFont="1" applyFill="1" applyBorder="1" applyAlignment="1">
      <alignment horizontal="right"/>
    </xf>
    <xf numFmtId="171" fontId="8" fillId="0" borderId="0" xfId="1" applyNumberFormat="1" applyFont="1" applyFill="1" applyBorder="1" applyAlignment="1">
      <alignment horizontal="right"/>
    </xf>
    <xf numFmtId="171" fontId="8" fillId="0" borderId="3" xfId="1" applyNumberFormat="1" applyFont="1" applyFill="1" applyBorder="1" applyAlignment="1">
      <alignment horizontal="right"/>
    </xf>
    <xf numFmtId="0" fontId="3" fillId="0" borderId="2" xfId="0" quotePrefix="1" applyFont="1" applyFill="1" applyBorder="1" applyAlignment="1">
      <alignment horizontal="left"/>
    </xf>
    <xf numFmtId="0" fontId="0" fillId="0" borderId="1" xfId="0" applyFill="1" applyBorder="1"/>
    <xf numFmtId="0" fontId="9" fillId="2" borderId="50" xfId="0" quotePrefix="1" applyFont="1" applyFill="1" applyBorder="1" applyAlignment="1">
      <alignment horizontal="left"/>
    </xf>
    <xf numFmtId="0" fontId="10" fillId="2" borderId="7" xfId="0" applyFont="1" applyFill="1" applyBorder="1"/>
    <xf numFmtId="0" fontId="10" fillId="2" borderId="8" xfId="0" applyFont="1" applyFill="1" applyBorder="1"/>
    <xf numFmtId="0" fontId="9" fillId="2" borderId="50" xfId="0" applyFont="1" applyFill="1" applyBorder="1" applyAlignment="1">
      <alignment horizontal="left"/>
    </xf>
    <xf numFmtId="0" fontId="8" fillId="0" borderId="2" xfId="0" applyFont="1" applyFill="1" applyBorder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3" borderId="45" xfId="0" applyFont="1" applyFill="1" applyBorder="1"/>
    <xf numFmtId="0" fontId="8" fillId="3" borderId="46" xfId="0" applyFont="1" applyFill="1" applyBorder="1" applyAlignment="1">
      <alignment horizontal="center"/>
    </xf>
    <xf numFmtId="0" fontId="2" fillId="3" borderId="22" xfId="0" applyFont="1" applyFill="1" applyBorder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0" fillId="3" borderId="47" xfId="0" applyFont="1" applyFill="1" applyBorder="1" applyAlignment="1">
      <alignment horizontal="center"/>
    </xf>
    <xf numFmtId="0" fontId="7" fillId="3" borderId="4" xfId="0" applyFont="1" applyFill="1" applyBorder="1"/>
    <xf numFmtId="0" fontId="2" fillId="3" borderId="3" xfId="0" applyFont="1" applyFill="1" applyBorder="1" applyAlignment="1">
      <alignment horizontal="center"/>
    </xf>
    <xf numFmtId="0" fontId="8" fillId="3" borderId="51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3" fontId="8" fillId="0" borderId="51" xfId="0" applyNumberFormat="1" applyFont="1" applyFill="1" applyBorder="1" applyAlignment="1">
      <alignment horizontal="right"/>
    </xf>
    <xf numFmtId="3" fontId="8" fillId="0" borderId="48" xfId="0" applyNumberFormat="1" applyFont="1" applyFill="1" applyBorder="1" applyAlignment="1">
      <alignment horizontal="right"/>
    </xf>
    <xf numFmtId="3" fontId="8" fillId="0" borderId="49" xfId="0" applyNumberFormat="1" applyFont="1" applyFill="1" applyBorder="1" applyAlignment="1">
      <alignment horizontal="right"/>
    </xf>
    <xf numFmtId="38" fontId="8" fillId="0" borderId="51" xfId="0" applyNumberFormat="1" applyFont="1" applyFill="1" applyBorder="1" applyAlignment="1">
      <alignment horizontal="right"/>
    </xf>
    <xf numFmtId="38" fontId="8" fillId="0" borderId="48" xfId="0" applyNumberFormat="1" applyFont="1" applyFill="1" applyBorder="1" applyAlignment="1">
      <alignment horizontal="right"/>
    </xf>
    <xf numFmtId="38" fontId="8" fillId="0" borderId="49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0" xfId="0" applyFont="1" applyBorder="1"/>
    <xf numFmtId="3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2" fontId="8" fillId="4" borderId="0" xfId="0" applyNumberFormat="1" applyFont="1" applyFill="1" applyBorder="1" applyAlignment="1">
      <alignment horizontal="right"/>
    </xf>
    <xf numFmtId="3" fontId="8" fillId="4" borderId="0" xfId="0" applyNumberFormat="1" applyFont="1" applyFill="1" applyBorder="1" applyAlignment="1">
      <alignment horizontal="right"/>
    </xf>
    <xf numFmtId="38" fontId="8" fillId="4" borderId="0" xfId="0" applyNumberFormat="1" applyFont="1" applyFill="1" applyBorder="1" applyAlignment="1">
      <alignment horizontal="right"/>
    </xf>
    <xf numFmtId="3" fontId="8" fillId="4" borderId="1" xfId="0" applyNumberFormat="1" applyFont="1" applyFill="1" applyBorder="1" applyAlignment="1">
      <alignment horizontal="right"/>
    </xf>
    <xf numFmtId="1" fontId="8" fillId="0" borderId="51" xfId="0" applyNumberFormat="1" applyFont="1" applyFill="1" applyBorder="1" applyAlignment="1">
      <alignment horizontal="right"/>
    </xf>
    <xf numFmtId="1" fontId="8" fillId="0" borderId="49" xfId="0" applyNumberFormat="1" applyFont="1" applyFill="1" applyBorder="1" applyAlignment="1">
      <alignment horizontal="right"/>
    </xf>
    <xf numFmtId="0" fontId="21" fillId="3" borderId="51" xfId="0" applyFont="1" applyFill="1" applyBorder="1" applyAlignment="1">
      <alignment horizontal="right"/>
    </xf>
    <xf numFmtId="0" fontId="22" fillId="3" borderId="51" xfId="0" applyFont="1" applyFill="1" applyBorder="1" applyAlignment="1">
      <alignment horizontal="right"/>
    </xf>
    <xf numFmtId="0" fontId="23" fillId="3" borderId="48" xfId="0" applyFont="1" applyFill="1" applyBorder="1"/>
    <xf numFmtId="0" fontId="22" fillId="3" borderId="48" xfId="0" applyFont="1" applyFill="1" applyBorder="1" applyAlignment="1">
      <alignment horizontal="right"/>
    </xf>
    <xf numFmtId="0" fontId="21" fillId="3" borderId="48" xfId="0" applyFont="1" applyFill="1" applyBorder="1" applyAlignment="1">
      <alignment horizontal="right"/>
    </xf>
    <xf numFmtId="0" fontId="23" fillId="3" borderId="48" xfId="0" applyFont="1" applyFill="1" applyBorder="1" applyAlignment="1">
      <alignment horizontal="right"/>
    </xf>
    <xf numFmtId="0" fontId="23" fillId="3" borderId="49" xfId="0" applyFont="1" applyFill="1" applyBorder="1" applyAlignment="1">
      <alignment horizontal="right"/>
    </xf>
    <xf numFmtId="0" fontId="22" fillId="3" borderId="49" xfId="0" applyFont="1" applyFill="1" applyBorder="1" applyAlignment="1">
      <alignment horizontal="right"/>
    </xf>
    <xf numFmtId="0" fontId="24" fillId="3" borderId="51" xfId="0" applyFont="1" applyFill="1" applyBorder="1" applyAlignment="1">
      <alignment horizontal="right"/>
    </xf>
    <xf numFmtId="0" fontId="7" fillId="3" borderId="51" xfId="0" applyFont="1" applyFill="1" applyBorder="1" applyAlignment="1">
      <alignment horizontal="right"/>
    </xf>
    <xf numFmtId="0" fontId="7" fillId="3" borderId="49" xfId="0" applyFont="1" applyFill="1" applyBorder="1" applyAlignment="1">
      <alignment horizontal="right"/>
    </xf>
    <xf numFmtId="0" fontId="8" fillId="3" borderId="48" xfId="0" applyFont="1" applyFill="1" applyBorder="1" applyAlignment="1">
      <alignment horizontal="right"/>
    </xf>
    <xf numFmtId="0" fontId="7" fillId="3" borderId="48" xfId="0" applyFont="1" applyFill="1" applyBorder="1" applyAlignment="1">
      <alignment horizontal="right"/>
    </xf>
    <xf numFmtId="0" fontId="7" fillId="3" borderId="51" xfId="0" quotePrefix="1" applyFont="1" applyFill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8" fillId="3" borderId="7" xfId="0" applyFont="1" applyFill="1" applyBorder="1" applyAlignment="1">
      <alignment horizontal="center"/>
    </xf>
    <xf numFmtId="49" fontId="8" fillId="3" borderId="8" xfId="0" applyNumberFormat="1" applyFont="1" applyFill="1" applyBorder="1" applyAlignment="1">
      <alignment horizontal="center"/>
    </xf>
    <xf numFmtId="0" fontId="8" fillId="3" borderId="23" xfId="0" applyFont="1" applyFill="1" applyBorder="1"/>
    <xf numFmtId="0" fontId="8" fillId="3" borderId="49" xfId="0" applyFont="1" applyFill="1" applyBorder="1"/>
    <xf numFmtId="49" fontId="8" fillId="3" borderId="7" xfId="0" applyNumberFormat="1" applyFont="1" applyFill="1" applyBorder="1" applyAlignment="1">
      <alignment horizontal="center"/>
    </xf>
    <xf numFmtId="38" fontId="2" fillId="5" borderId="25" xfId="0" applyNumberFormat="1" applyFont="1" applyFill="1" applyBorder="1"/>
    <xf numFmtId="38" fontId="2" fillId="5" borderId="25" xfId="0" applyNumberFormat="1" applyFont="1" applyFill="1" applyBorder="1" applyAlignment="1">
      <alignment horizontal="right"/>
    </xf>
    <xf numFmtId="38" fontId="2" fillId="5" borderId="25" xfId="1" applyNumberFormat="1" applyFont="1" applyFill="1" applyBorder="1" applyAlignment="1">
      <alignment horizontal="right"/>
    </xf>
    <xf numFmtId="38" fontId="2" fillId="5" borderId="26" xfId="1" applyNumberFormat="1" applyFont="1" applyFill="1" applyBorder="1" applyAlignment="1">
      <alignment horizontal="right"/>
    </xf>
    <xf numFmtId="0" fontId="8" fillId="3" borderId="52" xfId="0" applyFont="1" applyFill="1" applyBorder="1" applyAlignment="1">
      <alignment horizontal="center"/>
    </xf>
    <xf numFmtId="0" fontId="23" fillId="3" borderId="52" xfId="0" applyFont="1" applyFill="1" applyBorder="1" applyAlignment="1">
      <alignment horizontal="center"/>
    </xf>
    <xf numFmtId="164" fontId="23" fillId="3" borderId="52" xfId="0" applyNumberFormat="1" applyFont="1" applyFill="1" applyBorder="1" applyAlignment="1">
      <alignment horizontal="centerContinuous"/>
    </xf>
    <xf numFmtId="164" fontId="23" fillId="3" borderId="52" xfId="0" applyNumberFormat="1" applyFont="1" applyFill="1" applyBorder="1" applyAlignment="1">
      <alignment horizontal="center"/>
    </xf>
    <xf numFmtId="164" fontId="23" fillId="3" borderId="53" xfId="0" applyNumberFormat="1" applyFont="1" applyFill="1" applyBorder="1" applyAlignment="1">
      <alignment horizontal="center"/>
    </xf>
    <xf numFmtId="38" fontId="2" fillId="5" borderId="54" xfId="0" applyNumberFormat="1" applyFont="1" applyFill="1" applyBorder="1"/>
    <xf numFmtId="38" fontId="2" fillId="5" borderId="55" xfId="0" applyNumberFormat="1" applyFont="1" applyFill="1" applyBorder="1" applyAlignment="1">
      <alignment horizontal="right"/>
    </xf>
    <xf numFmtId="38" fontId="2" fillId="5" borderId="55" xfId="0" applyNumberFormat="1" applyFont="1" applyFill="1" applyBorder="1"/>
    <xf numFmtId="38" fontId="2" fillId="5" borderId="55" xfId="1" applyNumberFormat="1" applyFont="1" applyFill="1" applyBorder="1" applyAlignment="1">
      <alignment horizontal="right"/>
    </xf>
    <xf numFmtId="38" fontId="2" fillId="5" borderId="56" xfId="1" applyNumberFormat="1" applyFont="1" applyFill="1" applyBorder="1" applyAlignment="1">
      <alignment horizontal="right"/>
    </xf>
    <xf numFmtId="38" fontId="2" fillId="5" borderId="24" xfId="0" applyNumberFormat="1" applyFont="1" applyFill="1" applyBorder="1"/>
    <xf numFmtId="0" fontId="8" fillId="3" borderId="57" xfId="0" applyFont="1" applyFill="1" applyBorder="1" applyAlignment="1">
      <alignment horizontal="center"/>
    </xf>
    <xf numFmtId="38" fontId="2" fillId="5" borderId="58" xfId="0" applyNumberFormat="1" applyFont="1" applyFill="1" applyBorder="1"/>
    <xf numFmtId="38" fontId="2" fillId="5" borderId="59" xfId="0" applyNumberFormat="1" applyFont="1" applyFill="1" applyBorder="1"/>
    <xf numFmtId="38" fontId="2" fillId="5" borderId="59" xfId="1" applyNumberFormat="1" applyFont="1" applyFill="1" applyBorder="1" applyAlignment="1">
      <alignment horizontal="right"/>
    </xf>
    <xf numFmtId="38" fontId="2" fillId="5" borderId="60" xfId="1" applyNumberFormat="1" applyFont="1" applyFill="1" applyBorder="1" applyAlignment="1">
      <alignment horizontal="right"/>
    </xf>
    <xf numFmtId="38" fontId="8" fillId="5" borderId="36" xfId="0" applyNumberFormat="1" applyFont="1" applyFill="1" applyBorder="1"/>
    <xf numFmtId="38" fontId="8" fillId="5" borderId="37" xfId="0" applyNumberFormat="1" applyFont="1" applyFill="1" applyBorder="1"/>
    <xf numFmtId="38" fontId="8" fillId="5" borderId="37" xfId="1" applyNumberFormat="1" applyFont="1" applyFill="1" applyBorder="1" applyAlignment="1">
      <alignment horizontal="right"/>
    </xf>
    <xf numFmtId="38" fontId="8" fillId="5" borderId="38" xfId="1" applyNumberFormat="1" applyFont="1" applyFill="1" applyBorder="1" applyAlignment="1">
      <alignment horizontal="right"/>
    </xf>
    <xf numFmtId="0" fontId="8" fillId="5" borderId="41" xfId="0" applyFont="1" applyFill="1" applyBorder="1"/>
    <xf numFmtId="0" fontId="8" fillId="5" borderId="61" xfId="0" applyFont="1" applyFill="1" applyBorder="1"/>
    <xf numFmtId="0" fontId="8" fillId="5" borderId="31" xfId="0" applyFont="1" applyFill="1" applyBorder="1"/>
    <xf numFmtId="0" fontId="8" fillId="5" borderId="31" xfId="0" applyFont="1" applyFill="1" applyBorder="1" applyAlignment="1">
      <alignment horizontal="left"/>
    </xf>
    <xf numFmtId="0" fontId="8" fillId="5" borderId="61" xfId="0" applyFont="1" applyFill="1" applyBorder="1" applyAlignment="1">
      <alignment horizontal="left"/>
    </xf>
    <xf numFmtId="0" fontId="8" fillId="5" borderId="31" xfId="0" quotePrefix="1" applyFont="1" applyFill="1" applyBorder="1" applyAlignment="1">
      <alignment horizontal="left"/>
    </xf>
    <xf numFmtId="0" fontId="8" fillId="5" borderId="61" xfId="0" quotePrefix="1" applyFont="1" applyFill="1" applyBorder="1" applyAlignment="1">
      <alignment horizontal="left"/>
    </xf>
    <xf numFmtId="0" fontId="8" fillId="5" borderId="62" xfId="0" applyFont="1" applyFill="1" applyBorder="1"/>
    <xf numFmtId="0" fontId="8" fillId="5" borderId="11" xfId="0" applyFont="1" applyFill="1" applyBorder="1"/>
    <xf numFmtId="0" fontId="8" fillId="5" borderId="23" xfId="0" applyFont="1" applyFill="1" applyBorder="1" applyAlignment="1">
      <alignment horizontal="right"/>
    </xf>
    <xf numFmtId="0" fontId="8" fillId="5" borderId="7" xfId="0" applyFont="1" applyFill="1" applyBorder="1"/>
    <xf numFmtId="38" fontId="2" fillId="6" borderId="25" xfId="0" applyNumberFormat="1" applyFont="1" applyFill="1" applyBorder="1"/>
    <xf numFmtId="38" fontId="2" fillId="6" borderId="25" xfId="1" applyNumberFormat="1" applyFont="1" applyFill="1" applyBorder="1" applyAlignment="1">
      <alignment horizontal="right"/>
    </xf>
    <xf numFmtId="38" fontId="2" fillId="6" borderId="25" xfId="0" applyNumberFormat="1" applyFont="1" applyFill="1" applyBorder="1" applyAlignment="1">
      <alignment horizontal="right"/>
    </xf>
    <xf numFmtId="38" fontId="2" fillId="6" borderId="54" xfId="0" applyNumberFormat="1" applyFont="1" applyFill="1" applyBorder="1"/>
    <xf numFmtId="38" fontId="2" fillId="6" borderId="55" xfId="0" applyNumberFormat="1" applyFont="1" applyFill="1" applyBorder="1"/>
    <xf numFmtId="38" fontId="2" fillId="6" borderId="55" xfId="1" applyNumberFormat="1" applyFont="1" applyFill="1" applyBorder="1" applyAlignment="1">
      <alignment horizontal="right"/>
    </xf>
    <xf numFmtId="38" fontId="2" fillId="6" borderId="56" xfId="1" applyNumberFormat="1" applyFont="1" applyFill="1" applyBorder="1" applyAlignment="1">
      <alignment horizontal="right"/>
    </xf>
    <xf numFmtId="38" fontId="2" fillId="6" borderId="24" xfId="0" applyNumberFormat="1" applyFont="1" applyFill="1" applyBorder="1"/>
    <xf numFmtId="38" fontId="2" fillId="6" borderId="26" xfId="1" applyNumberFormat="1" applyFont="1" applyFill="1" applyBorder="1" applyAlignment="1">
      <alignment horizontal="right"/>
    </xf>
    <xf numFmtId="38" fontId="2" fillId="6" borderId="24" xfId="0" applyNumberFormat="1" applyFont="1" applyFill="1" applyBorder="1" applyAlignment="1">
      <alignment horizontal="right"/>
    </xf>
    <xf numFmtId="38" fontId="2" fillId="6" borderId="58" xfId="0" applyNumberFormat="1" applyFont="1" applyFill="1" applyBorder="1"/>
    <xf numFmtId="38" fontId="2" fillId="6" borderId="59" xfId="0" applyNumberFormat="1" applyFont="1" applyFill="1" applyBorder="1"/>
    <xf numFmtId="38" fontId="2" fillId="6" borderId="59" xfId="1" applyNumberFormat="1" applyFont="1" applyFill="1" applyBorder="1" applyAlignment="1">
      <alignment horizontal="right"/>
    </xf>
    <xf numFmtId="38" fontId="2" fillId="6" borderId="60" xfId="1" applyNumberFormat="1" applyFont="1" applyFill="1" applyBorder="1" applyAlignment="1">
      <alignment horizontal="right"/>
    </xf>
    <xf numFmtId="38" fontId="8" fillId="6" borderId="36" xfId="0" applyNumberFormat="1" applyFont="1" applyFill="1" applyBorder="1"/>
    <xf numFmtId="38" fontId="8" fillId="6" borderId="37" xfId="0" applyNumberFormat="1" applyFont="1" applyFill="1" applyBorder="1"/>
    <xf numFmtId="38" fontId="8" fillId="6" borderId="37" xfId="1" applyNumberFormat="1" applyFont="1" applyFill="1" applyBorder="1" applyAlignment="1">
      <alignment horizontal="right"/>
    </xf>
    <xf numFmtId="38" fontId="8" fillId="6" borderId="38" xfId="1" applyNumberFormat="1" applyFont="1" applyFill="1" applyBorder="1" applyAlignment="1">
      <alignment horizontal="right"/>
    </xf>
    <xf numFmtId="0" fontId="8" fillId="6" borderId="30" xfId="0" applyFont="1" applyFill="1" applyBorder="1"/>
    <xf numFmtId="0" fontId="8" fillId="7" borderId="61" xfId="0" applyFont="1" applyFill="1" applyBorder="1"/>
    <xf numFmtId="0" fontId="8" fillId="6" borderId="31" xfId="0" applyFont="1" applyFill="1" applyBorder="1"/>
    <xf numFmtId="0" fontId="8" fillId="6" borderId="31" xfId="0" applyFont="1" applyFill="1" applyBorder="1" applyAlignment="1">
      <alignment horizontal="left"/>
    </xf>
    <xf numFmtId="0" fontId="8" fillId="7" borderId="61" xfId="0" applyFont="1" applyFill="1" applyBorder="1" applyAlignment="1">
      <alignment horizontal="left"/>
    </xf>
    <xf numFmtId="0" fontId="8" fillId="8" borderId="61" xfId="0" applyFont="1" applyFill="1" applyBorder="1"/>
    <xf numFmtId="0" fontId="8" fillId="6" borderId="62" xfId="0" applyFont="1" applyFill="1" applyBorder="1" applyAlignment="1">
      <alignment horizontal="left"/>
    </xf>
    <xf numFmtId="0" fontId="8" fillId="7" borderId="11" xfId="0" applyFont="1" applyFill="1" applyBorder="1" applyAlignment="1">
      <alignment horizontal="left"/>
    </xf>
    <xf numFmtId="0" fontId="8" fillId="6" borderId="23" xfId="0" applyFont="1" applyFill="1" applyBorder="1" applyAlignment="1">
      <alignment horizontal="right"/>
    </xf>
    <xf numFmtId="0" fontId="8" fillId="7" borderId="7" xfId="0" applyFont="1" applyFill="1" applyBorder="1" applyAlignment="1">
      <alignment horizontal="left"/>
    </xf>
    <xf numFmtId="38" fontId="2" fillId="9" borderId="25" xfId="0" applyNumberFormat="1" applyFont="1" applyFill="1" applyBorder="1"/>
    <xf numFmtId="38" fontId="2" fillId="9" borderId="25" xfId="1" applyNumberFormat="1" applyFont="1" applyFill="1" applyBorder="1" applyAlignment="1">
      <alignment horizontal="right"/>
    </xf>
    <xf numFmtId="38" fontId="2" fillId="10" borderId="25" xfId="0" applyNumberFormat="1" applyFont="1" applyFill="1" applyBorder="1"/>
    <xf numFmtId="38" fontId="2" fillId="10" borderId="25" xfId="1" applyNumberFormat="1" applyFont="1" applyFill="1" applyBorder="1" applyAlignment="1">
      <alignment horizontal="right"/>
    </xf>
    <xf numFmtId="0" fontId="8" fillId="7" borderId="39" xfId="0" applyFont="1" applyFill="1" applyBorder="1"/>
    <xf numFmtId="0" fontId="8" fillId="9" borderId="30" xfId="0" applyFont="1" applyFill="1" applyBorder="1"/>
    <xf numFmtId="0" fontId="8" fillId="9" borderId="31" xfId="0" applyFont="1" applyFill="1" applyBorder="1"/>
    <xf numFmtId="38" fontId="2" fillId="9" borderId="54" xfId="0" applyNumberFormat="1" applyFont="1" applyFill="1" applyBorder="1"/>
    <xf numFmtId="38" fontId="2" fillId="9" borderId="55" xfId="0" applyNumberFormat="1" applyFont="1" applyFill="1" applyBorder="1"/>
    <xf numFmtId="38" fontId="2" fillId="9" borderId="55" xfId="1" applyNumberFormat="1" applyFont="1" applyFill="1" applyBorder="1" applyAlignment="1">
      <alignment horizontal="right"/>
    </xf>
    <xf numFmtId="38" fontId="2" fillId="9" borderId="56" xfId="1" applyNumberFormat="1" applyFont="1" applyFill="1" applyBorder="1" applyAlignment="1">
      <alignment horizontal="right"/>
    </xf>
    <xf numFmtId="38" fontId="2" fillId="9" borderId="24" xfId="0" applyNumberFormat="1" applyFont="1" applyFill="1" applyBorder="1"/>
    <xf numFmtId="38" fontId="2" fillId="9" borderId="26" xfId="1" applyNumberFormat="1" applyFont="1" applyFill="1" applyBorder="1" applyAlignment="1">
      <alignment horizontal="right"/>
    </xf>
    <xf numFmtId="0" fontId="8" fillId="9" borderId="62" xfId="0" applyFont="1" applyFill="1" applyBorder="1"/>
    <xf numFmtId="0" fontId="8" fillId="7" borderId="11" xfId="0" applyFont="1" applyFill="1" applyBorder="1"/>
    <xf numFmtId="38" fontId="2" fillId="9" borderId="58" xfId="0" applyNumberFormat="1" applyFont="1" applyFill="1" applyBorder="1"/>
    <xf numFmtId="38" fontId="2" fillId="9" borderId="59" xfId="0" applyNumberFormat="1" applyFont="1" applyFill="1" applyBorder="1"/>
    <xf numFmtId="38" fontId="2" fillId="9" borderId="59" xfId="1" applyNumberFormat="1" applyFont="1" applyFill="1" applyBorder="1" applyAlignment="1">
      <alignment horizontal="right"/>
    </xf>
    <xf numFmtId="38" fontId="2" fillId="9" borderId="60" xfId="1" applyNumberFormat="1" applyFont="1" applyFill="1" applyBorder="1" applyAlignment="1">
      <alignment horizontal="right"/>
    </xf>
    <xf numFmtId="0" fontId="8" fillId="9" borderId="23" xfId="0" applyFont="1" applyFill="1" applyBorder="1" applyAlignment="1">
      <alignment horizontal="right"/>
    </xf>
    <xf numFmtId="0" fontId="8" fillId="7" borderId="7" xfId="0" applyFont="1" applyFill="1" applyBorder="1"/>
    <xf numFmtId="38" fontId="8" fillId="9" borderId="36" xfId="0" applyNumberFormat="1" applyFont="1" applyFill="1" applyBorder="1"/>
    <xf numFmtId="38" fontId="8" fillId="9" borderId="37" xfId="0" applyNumberFormat="1" applyFont="1" applyFill="1" applyBorder="1"/>
    <xf numFmtId="38" fontId="8" fillId="9" borderId="37" xfId="1" applyNumberFormat="1" applyFont="1" applyFill="1" applyBorder="1" applyAlignment="1">
      <alignment horizontal="right"/>
    </xf>
    <xf numFmtId="38" fontId="8" fillId="9" borderId="38" xfId="1" applyNumberFormat="1" applyFont="1" applyFill="1" applyBorder="1" applyAlignment="1">
      <alignment horizontal="right"/>
    </xf>
    <xf numFmtId="38" fontId="8" fillId="10" borderId="37" xfId="0" applyNumberFormat="1" applyFont="1" applyFill="1" applyBorder="1"/>
    <xf numFmtId="38" fontId="8" fillId="10" borderId="37" xfId="1" applyNumberFormat="1" applyFont="1" applyFill="1" applyBorder="1" applyAlignment="1">
      <alignment horizontal="right"/>
    </xf>
    <xf numFmtId="38" fontId="8" fillId="10" borderId="38" xfId="1" applyNumberFormat="1" applyFont="1" applyFill="1" applyBorder="1" applyAlignment="1">
      <alignment horizontal="right"/>
    </xf>
    <xf numFmtId="38" fontId="2" fillId="10" borderId="55" xfId="0" applyNumberFormat="1" applyFont="1" applyFill="1" applyBorder="1"/>
    <xf numFmtId="38" fontId="2" fillId="10" borderId="55" xfId="1" applyNumberFormat="1" applyFont="1" applyFill="1" applyBorder="1" applyAlignment="1">
      <alignment horizontal="right"/>
    </xf>
    <xf numFmtId="38" fontId="2" fillId="10" borderId="56" xfId="1" applyNumberFormat="1" applyFont="1" applyFill="1" applyBorder="1" applyAlignment="1">
      <alignment horizontal="right"/>
    </xf>
    <xf numFmtId="38" fontId="2" fillId="10" borderId="26" xfId="1" applyNumberFormat="1" applyFont="1" applyFill="1" applyBorder="1" applyAlignment="1">
      <alignment horizontal="right"/>
    </xf>
    <xf numFmtId="38" fontId="2" fillId="10" borderId="28" xfId="0" applyNumberFormat="1" applyFont="1" applyFill="1" applyBorder="1"/>
    <xf numFmtId="38" fontId="2" fillId="10" borderId="28" xfId="1" applyNumberFormat="1" applyFont="1" applyFill="1" applyBorder="1" applyAlignment="1">
      <alignment horizontal="right"/>
    </xf>
    <xf numFmtId="38" fontId="2" fillId="10" borderId="29" xfId="1" applyNumberFormat="1" applyFont="1" applyFill="1" applyBorder="1" applyAlignment="1">
      <alignment horizontal="right"/>
    </xf>
    <xf numFmtId="0" fontId="8" fillId="8" borderId="57" xfId="0" applyFont="1" applyFill="1" applyBorder="1"/>
    <xf numFmtId="0" fontId="8" fillId="8" borderId="40" xfId="0" applyFont="1" applyFill="1" applyBorder="1"/>
    <xf numFmtId="0" fontId="8" fillId="8" borderId="42" xfId="0" applyFont="1" applyFill="1" applyBorder="1"/>
    <xf numFmtId="0" fontId="8" fillId="10" borderId="30" xfId="0" applyFont="1" applyFill="1" applyBorder="1"/>
    <xf numFmtId="0" fontId="8" fillId="10" borderId="31" xfId="0" applyFont="1" applyFill="1" applyBorder="1"/>
    <xf numFmtId="0" fontId="8" fillId="10" borderId="32" xfId="0" applyFont="1" applyFill="1" applyBorder="1"/>
    <xf numFmtId="0" fontId="8" fillId="10" borderId="23" xfId="0" applyFont="1" applyFill="1" applyBorder="1" applyAlignment="1">
      <alignment horizontal="right"/>
    </xf>
    <xf numFmtId="3" fontId="2" fillId="5" borderId="25" xfId="0" applyNumberFormat="1" applyFont="1" applyFill="1" applyBorder="1" applyAlignment="1">
      <alignment horizontal="right"/>
    </xf>
    <xf numFmtId="3" fontId="2" fillId="6" borderId="25" xfId="0" applyNumberFormat="1" applyFont="1" applyFill="1" applyBorder="1" applyAlignment="1">
      <alignment horizontal="right"/>
    </xf>
    <xf numFmtId="3" fontId="2" fillId="6" borderId="25" xfId="1" applyNumberFormat="1" applyFont="1" applyFill="1" applyBorder="1" applyAlignment="1">
      <alignment horizontal="right"/>
    </xf>
    <xf numFmtId="3" fontId="2" fillId="5" borderId="25" xfId="1" applyNumberFormat="1" applyFont="1" applyFill="1" applyBorder="1" applyAlignment="1">
      <alignment horizontal="right"/>
    </xf>
    <xf numFmtId="3" fontId="2" fillId="6" borderId="25" xfId="0" quotePrefix="1" applyNumberFormat="1" applyFont="1" applyFill="1" applyBorder="1" applyAlignment="1">
      <alignment horizontal="right"/>
    </xf>
    <xf numFmtId="3" fontId="2" fillId="5" borderId="25" xfId="0" quotePrefix="1" applyNumberFormat="1" applyFont="1" applyFill="1" applyBorder="1" applyAlignment="1">
      <alignment horizontal="right"/>
    </xf>
    <xf numFmtId="3" fontId="2" fillId="9" borderId="25" xfId="0" quotePrefix="1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2" fillId="9" borderId="25" xfId="1" applyNumberFormat="1" applyFont="1" applyFill="1" applyBorder="1" applyAlignment="1">
      <alignment horizontal="right"/>
    </xf>
    <xf numFmtId="3" fontId="2" fillId="5" borderId="34" xfId="0" applyNumberFormat="1" applyFont="1" applyFill="1" applyBorder="1" applyAlignment="1">
      <alignment horizontal="right"/>
    </xf>
    <xf numFmtId="38" fontId="2" fillId="5" borderId="34" xfId="1" applyNumberFormat="1" applyFont="1" applyFill="1" applyBorder="1" applyAlignment="1">
      <alignment horizontal="right"/>
    </xf>
    <xf numFmtId="3" fontId="2" fillId="6" borderId="59" xfId="0" applyNumberFormat="1" applyFont="1" applyFill="1" applyBorder="1" applyAlignment="1">
      <alignment horizontal="right"/>
    </xf>
    <xf numFmtId="3" fontId="2" fillId="6" borderId="59" xfId="1" applyNumberFormat="1" applyFont="1" applyFill="1" applyBorder="1" applyAlignment="1">
      <alignment horizontal="right"/>
    </xf>
    <xf numFmtId="40" fontId="2" fillId="5" borderId="35" xfId="1" applyNumberFormat="1" applyFont="1" applyFill="1" applyBorder="1" applyAlignment="1">
      <alignment horizontal="center"/>
    </xf>
    <xf numFmtId="40" fontId="2" fillId="6" borderId="26" xfId="1" applyNumberFormat="1" applyFont="1" applyFill="1" applyBorder="1" applyAlignment="1">
      <alignment horizontal="center"/>
    </xf>
    <xf numFmtId="40" fontId="2" fillId="5" borderId="26" xfId="1" applyNumberFormat="1" applyFont="1" applyFill="1" applyBorder="1" applyAlignment="1">
      <alignment horizontal="center"/>
    </xf>
    <xf numFmtId="40" fontId="2" fillId="9" borderId="26" xfId="1" applyNumberFormat="1" applyFont="1" applyFill="1" applyBorder="1" applyAlignment="1">
      <alignment horizontal="center"/>
    </xf>
    <xf numFmtId="40" fontId="2" fillId="6" borderId="60" xfId="1" applyNumberFormat="1" applyFont="1" applyFill="1" applyBorder="1" applyAlignment="1">
      <alignment horizontal="center"/>
    </xf>
    <xf numFmtId="0" fontId="9" fillId="2" borderId="7" xfId="0" quotePrefix="1" applyFont="1" applyFill="1" applyBorder="1" applyAlignment="1">
      <alignment horizontal="left"/>
    </xf>
    <xf numFmtId="0" fontId="9" fillId="2" borderId="46" xfId="0" quotePrefix="1" applyFont="1" applyFill="1" applyBorder="1" applyAlignment="1">
      <alignment horizontal="left"/>
    </xf>
    <xf numFmtId="164" fontId="23" fillId="3" borderId="37" xfId="0" applyNumberFormat="1" applyFont="1" applyFill="1" applyBorder="1" applyAlignment="1">
      <alignment horizontal="center"/>
    </xf>
    <xf numFmtId="0" fontId="23" fillId="3" borderId="37" xfId="0" applyFont="1" applyFill="1" applyBorder="1" applyAlignment="1">
      <alignment horizontal="center"/>
    </xf>
    <xf numFmtId="164" fontId="23" fillId="3" borderId="37" xfId="0" applyNumberFormat="1" applyFont="1" applyFill="1" applyBorder="1" applyAlignment="1">
      <alignment horizontal="centerContinuous"/>
    </xf>
    <xf numFmtId="0" fontId="23" fillId="3" borderId="37" xfId="0" quotePrefix="1" applyFont="1" applyFill="1" applyBorder="1" applyAlignment="1">
      <alignment horizontal="center"/>
    </xf>
    <xf numFmtId="164" fontId="23" fillId="3" borderId="38" xfId="0" applyNumberFormat="1" applyFont="1" applyFill="1" applyBorder="1" applyAlignment="1">
      <alignment horizontal="center"/>
    </xf>
    <xf numFmtId="0" fontId="8" fillId="5" borderId="21" xfId="0" applyFont="1" applyFill="1" applyBorder="1"/>
    <xf numFmtId="0" fontId="8" fillId="6" borderId="39" xfId="0" applyFont="1" applyFill="1" applyBorder="1"/>
    <xf numFmtId="0" fontId="8" fillId="5" borderId="39" xfId="0" applyFont="1" applyFill="1" applyBorder="1"/>
    <xf numFmtId="0" fontId="8" fillId="9" borderId="39" xfId="0" applyFont="1" applyFill="1" applyBorder="1"/>
    <xf numFmtId="0" fontId="8" fillId="6" borderId="62" xfId="0" applyFont="1" applyFill="1" applyBorder="1"/>
    <xf numFmtId="0" fontId="8" fillId="6" borderId="16" xfId="0" applyFont="1" applyFill="1" applyBorder="1"/>
    <xf numFmtId="0" fontId="25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25" fillId="0" borderId="0" xfId="0" applyFont="1" applyBorder="1"/>
    <xf numFmtId="0" fontId="10" fillId="0" borderId="0" xfId="0" applyFont="1" applyBorder="1"/>
    <xf numFmtId="38" fontId="2" fillId="3" borderId="25" xfId="0" applyNumberFormat="1" applyFont="1" applyFill="1" applyBorder="1"/>
    <xf numFmtId="0" fontId="8" fillId="0" borderId="23" xfId="0" applyFont="1" applyFill="1" applyBorder="1" applyAlignment="1">
      <alignment horizontal="right"/>
    </xf>
    <xf numFmtId="0" fontId="8" fillId="0" borderId="42" xfId="0" applyFont="1" applyFill="1" applyBorder="1"/>
    <xf numFmtId="38" fontId="8" fillId="0" borderId="37" xfId="0" applyNumberFormat="1" applyFont="1" applyFill="1" applyBorder="1"/>
    <xf numFmtId="38" fontId="8" fillId="0" borderId="37" xfId="1" applyNumberFormat="1" applyFont="1" applyFill="1" applyBorder="1" applyAlignment="1">
      <alignment horizontal="right"/>
    </xf>
    <xf numFmtId="38" fontId="8" fillId="0" borderId="38" xfId="1" applyNumberFormat="1" applyFont="1" applyFill="1" applyBorder="1" applyAlignment="1">
      <alignment horizontal="right"/>
    </xf>
    <xf numFmtId="0" fontId="8" fillId="0" borderId="23" xfId="0" applyFont="1" applyFill="1" applyBorder="1"/>
    <xf numFmtId="3" fontId="2" fillId="0" borderId="37" xfId="1" applyNumberFormat="1" applyFont="1" applyFill="1" applyBorder="1" applyAlignment="1">
      <alignment horizontal="right"/>
    </xf>
    <xf numFmtId="38" fontId="2" fillId="0" borderId="37" xfId="1" applyNumberFormat="1" applyFont="1" applyFill="1" applyBorder="1" applyAlignment="1">
      <alignment horizontal="right"/>
    </xf>
    <xf numFmtId="37" fontId="2" fillId="0" borderId="38" xfId="1" applyNumberFormat="1" applyFont="1" applyFill="1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9" fontId="8" fillId="0" borderId="4" xfId="2" applyFont="1" applyFill="1" applyBorder="1" applyAlignment="1">
      <alignment horizontal="center"/>
    </xf>
    <xf numFmtId="189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3" fontId="8" fillId="0" borderId="7" xfId="0" applyNumberFormat="1" applyFont="1" applyBorder="1" applyAlignment="1">
      <alignment horizontal="center"/>
    </xf>
    <xf numFmtId="10" fontId="8" fillId="0" borderId="8" xfId="2" applyNumberFormat="1" applyFont="1" applyBorder="1" applyAlignment="1">
      <alignment horizontal="center"/>
    </xf>
    <xf numFmtId="0" fontId="28" fillId="0" borderId="0" xfId="0" applyFont="1"/>
    <xf numFmtId="0" fontId="17" fillId="0" borderId="2" xfId="0" applyFont="1" applyBorder="1" applyAlignment="1">
      <alignment horizontal="center"/>
    </xf>
    <xf numFmtId="0" fontId="18" fillId="0" borderId="2" xfId="0" applyFont="1" applyFill="1" applyBorder="1" applyAlignment="1"/>
    <xf numFmtId="49" fontId="18" fillId="0" borderId="27" xfId="0" applyNumberFormat="1" applyFont="1" applyFill="1" applyBorder="1" applyAlignment="1">
      <alignment horizontal="center"/>
    </xf>
    <xf numFmtId="49" fontId="18" fillId="0" borderId="28" xfId="0" applyNumberFormat="1" applyFont="1" applyFill="1" applyBorder="1" applyAlignment="1">
      <alignment horizontal="center"/>
    </xf>
    <xf numFmtId="49" fontId="18" fillId="0" borderId="29" xfId="0" applyNumberFormat="1" applyFont="1" applyFill="1" applyBorder="1" applyAlignment="1">
      <alignment horizontal="center"/>
    </xf>
    <xf numFmtId="0" fontId="18" fillId="0" borderId="45" xfId="0" applyFont="1" applyFill="1" applyBorder="1" applyAlignment="1">
      <alignment horizontal="center"/>
    </xf>
    <xf numFmtId="9" fontId="17" fillId="0" borderId="2" xfId="2" applyNumberFormat="1" applyFont="1" applyFill="1" applyBorder="1" applyAlignment="1">
      <alignment horizontal="center"/>
    </xf>
    <xf numFmtId="9" fontId="17" fillId="0" borderId="0" xfId="2" applyNumberFormat="1" applyFont="1" applyFill="1" applyBorder="1" applyAlignment="1">
      <alignment horizontal="center"/>
    </xf>
    <xf numFmtId="9" fontId="17" fillId="0" borderId="1" xfId="2" applyNumberFormat="1" applyFont="1" applyBorder="1" applyAlignment="1">
      <alignment horizontal="center"/>
    </xf>
    <xf numFmtId="9" fontId="17" fillId="0" borderId="0" xfId="2" applyNumberFormat="1" applyFont="1" applyBorder="1" applyAlignment="1">
      <alignment horizontal="center"/>
    </xf>
    <xf numFmtId="9" fontId="17" fillId="0" borderId="2" xfId="2" applyNumberFormat="1" applyFont="1" applyBorder="1" applyAlignment="1">
      <alignment horizontal="center"/>
    </xf>
    <xf numFmtId="0" fontId="17" fillId="0" borderId="2" xfId="2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9" fontId="17" fillId="0" borderId="22" xfId="2" applyNumberFormat="1" applyFont="1" applyFill="1" applyBorder="1" applyAlignment="1">
      <alignment horizontal="center"/>
    </xf>
    <xf numFmtId="9" fontId="17" fillId="0" borderId="3" xfId="2" applyNumberFormat="1" applyFont="1" applyFill="1" applyBorder="1" applyAlignment="1">
      <alignment horizontal="center"/>
    </xf>
    <xf numFmtId="9" fontId="17" fillId="0" borderId="4" xfId="2" applyNumberFormat="1" applyFont="1" applyBorder="1" applyAlignment="1">
      <alignment horizontal="center"/>
    </xf>
    <xf numFmtId="9" fontId="17" fillId="0" borderId="3" xfId="2" applyNumberFormat="1" applyFont="1" applyBorder="1" applyAlignment="1">
      <alignment horizontal="center"/>
    </xf>
    <xf numFmtId="9" fontId="17" fillId="0" borderId="22" xfId="2" applyNumberFormat="1" applyFont="1" applyBorder="1" applyAlignment="1">
      <alignment horizontal="center"/>
    </xf>
    <xf numFmtId="0" fontId="17" fillId="0" borderId="22" xfId="2" applyNumberFormat="1" applyFont="1" applyFill="1" applyBorder="1" applyAlignment="1">
      <alignment horizontal="center"/>
    </xf>
    <xf numFmtId="0" fontId="17" fillId="0" borderId="0" xfId="0" applyFont="1" applyBorder="1" applyAlignment="1"/>
    <xf numFmtId="9" fontId="17" fillId="0" borderId="2" xfId="2" applyFont="1" applyFill="1" applyBorder="1" applyAlignment="1">
      <alignment horizontal="center"/>
    </xf>
    <xf numFmtId="9" fontId="17" fillId="0" borderId="22" xfId="2" applyFont="1" applyFill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174" fontId="9" fillId="0" borderId="22" xfId="0" applyNumberFormat="1" applyFont="1" applyBorder="1" applyAlignment="1">
      <alignment horizontal="center"/>
    </xf>
    <xf numFmtId="174" fontId="9" fillId="0" borderId="3" xfId="0" applyNumberFormat="1" applyFont="1" applyBorder="1" applyAlignment="1">
      <alignment horizontal="center"/>
    </xf>
    <xf numFmtId="174" fontId="9" fillId="0" borderId="4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3" borderId="46" xfId="0" applyFont="1" applyFill="1" applyBorder="1" applyAlignment="1">
      <alignment horizontal="center"/>
    </xf>
    <xf numFmtId="0" fontId="8" fillId="3" borderId="47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8" fillId="2" borderId="50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3" borderId="50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189" fontId="9" fillId="0" borderId="43" xfId="2" applyNumberFormat="1" applyFont="1" applyBorder="1" applyAlignment="1">
      <alignment horizontal="center"/>
    </xf>
    <xf numFmtId="189" fontId="9" fillId="0" borderId="5" xfId="2" applyNumberFormat="1" applyFont="1" applyBorder="1" applyAlignment="1">
      <alignment horizontal="center"/>
    </xf>
    <xf numFmtId="189" fontId="9" fillId="0" borderId="6" xfId="2" applyNumberFormat="1" applyFont="1" applyBorder="1" applyAlignment="1">
      <alignment horizontal="center"/>
    </xf>
    <xf numFmtId="0" fontId="9" fillId="0" borderId="63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6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Thermo Generation (GWh)</a:t>
            </a:r>
          </a:p>
        </c:rich>
      </c:tx>
      <c:layout>
        <c:manualLayout>
          <c:xMode val="edge"/>
          <c:yMode val="edge"/>
          <c:x val="0.31951219512195123"/>
          <c:y val="4.18604651162790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82926829268293"/>
          <c:y val="0.25116279069767444"/>
          <c:w val="0.83902439024390241"/>
          <c:h val="0.60465116279069764"/>
        </c:manualLayout>
      </c:layout>
      <c:lineChart>
        <c:grouping val="standard"/>
        <c:varyColors val="0"/>
        <c:ser>
          <c:idx val="0"/>
          <c:order val="0"/>
          <c:tx>
            <c:v>1999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Page1!$K$42:$K$53</c:f>
              <c:numCache>
                <c:formatCode>#,##0</c:formatCode>
                <c:ptCount val="12"/>
                <c:pt idx="0">
                  <c:v>1226.9000000000001</c:v>
                </c:pt>
                <c:pt idx="1">
                  <c:v>1207</c:v>
                </c:pt>
                <c:pt idx="2">
                  <c:v>1319</c:v>
                </c:pt>
                <c:pt idx="3">
                  <c:v>1239</c:v>
                </c:pt>
                <c:pt idx="4">
                  <c:v>1340</c:v>
                </c:pt>
                <c:pt idx="5">
                  <c:v>1272</c:v>
                </c:pt>
                <c:pt idx="6">
                  <c:v>988</c:v>
                </c:pt>
                <c:pt idx="7">
                  <c:v>1315</c:v>
                </c:pt>
                <c:pt idx="8">
                  <c:v>1378</c:v>
                </c:pt>
                <c:pt idx="9">
                  <c:v>1491</c:v>
                </c:pt>
                <c:pt idx="10">
                  <c:v>1647</c:v>
                </c:pt>
                <c:pt idx="11">
                  <c:v>1846.2555999999997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417-9177-6EBC4EEAD115}"/>
            </c:ext>
          </c:extLst>
        </c:ser>
        <c:ser>
          <c:idx val="1"/>
          <c:order val="1"/>
          <c:tx>
            <c:v>2000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Page1!$L$42:$L$53</c:f>
              <c:numCache>
                <c:formatCode>#,##0</c:formatCode>
                <c:ptCount val="12"/>
                <c:pt idx="0">
                  <c:v>1871</c:v>
                </c:pt>
                <c:pt idx="1">
                  <c:v>1775</c:v>
                </c:pt>
                <c:pt idx="2">
                  <c:v>1681</c:v>
                </c:pt>
                <c:pt idx="3">
                  <c:v>1415</c:v>
                </c:pt>
                <c:pt idx="4">
                  <c:v>1335</c:v>
                </c:pt>
                <c:pt idx="5">
                  <c:v>1413</c:v>
                </c:pt>
                <c:pt idx="6">
                  <c:v>1351</c:v>
                </c:pt>
                <c:pt idx="7">
                  <c:v>1982.83</c:v>
                </c:pt>
                <c:pt idx="8">
                  <c:v>1178</c:v>
                </c:pt>
                <c:pt idx="9">
                  <c:v>1500</c:v>
                </c:pt>
                <c:pt idx="10">
                  <c:v>2261</c:v>
                </c:pt>
                <c:pt idx="11">
                  <c:v>2635.073779166667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417-9177-6EBC4EEA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262064"/>
        <c:axId val="1"/>
      </c:lineChart>
      <c:catAx>
        <c:axId val="102326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262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Submarket</a:t>
            </a:r>
          </a:p>
        </c:rich>
      </c:tx>
      <c:layout>
        <c:manualLayout>
          <c:xMode val="edge"/>
          <c:yMode val="edge"/>
          <c:x val="0.41145166565130975"/>
          <c:y val="9.191184720373463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257027906169315E-2"/>
          <c:y val="2.9411791105195085E-2"/>
          <c:w val="0.90013374103652233"/>
          <c:h val="0.85845665288288153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Data!$W$2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0C72-4849-B1C7-31BB95EDDA0B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C72-4849-B1C7-31BB95EDDA0B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0C72-4849-B1C7-31BB95EDDA0B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C72-4849-B1C7-31BB95EDDA0B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0C72-4849-B1C7-31BB95EDDA0B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72-4849-B1C7-31BB95EDDA0B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72-4849-B1C7-31BB95EDDA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Data!$W$3:$W$29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 formatCode="0.0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72-4849-B1C7-31BB95EDDA0B}"/>
            </c:ext>
          </c:extLst>
        </c:ser>
        <c:ser>
          <c:idx val="4"/>
          <c:order val="3"/>
          <c:tx>
            <c:strRef>
              <c:f>Data!$X$2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0C72-4849-B1C7-31BB95EDDA0B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C72-4849-B1C7-31BB95EDDA0B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0C72-4849-B1C7-31BB95EDDA0B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C72-4849-B1C7-31BB95EDDA0B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0C72-4849-B1C7-31BB95EDDA0B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72-4849-B1C7-31BB95EDDA0B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72-4849-B1C7-31BB95EDDA0B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Data!$X$3:$X$29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103.54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72-4849-B1C7-31BB95EDDA0B}"/>
            </c:ext>
          </c:extLst>
        </c:ser>
        <c:ser>
          <c:idx val="5"/>
          <c:order val="4"/>
          <c:tx>
            <c:strRef>
              <c:f>Data!$Y$2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0C72-4849-B1C7-31BB95EDDA0B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0C72-4849-B1C7-31BB95EDDA0B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0C72-4849-B1C7-31BB95EDDA0B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0C72-4849-B1C7-31BB95EDDA0B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0C72-4849-B1C7-31BB95EDDA0B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C72-4849-B1C7-31BB95EDDA0B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C72-4849-B1C7-31BB95EDDA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Data!$Y$3:$Y$29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66.06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103.54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C72-4849-B1C7-31BB95EDD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Data!$U$2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Mode val="edge"/>
                  <c:yMode val="edge"/>
                  <c:x val="0.15046614310225889"/>
                  <c:y val="0.42463273408125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C72-4849-B1C7-31BB95EDDA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Data!$U$3:$U$29</c:f>
              <c:numCache>
                <c:formatCode>0%</c:formatCode>
                <c:ptCount val="25"/>
                <c:pt idx="0">
                  <c:v>0.79</c:v>
                </c:pt>
                <c:pt idx="1">
                  <c:v>0.56000000000000005</c:v>
                </c:pt>
                <c:pt idx="2">
                  <c:v>0.79</c:v>
                </c:pt>
                <c:pt idx="3">
                  <c:v>0.65</c:v>
                </c:pt>
                <c:pt idx="4">
                  <c:v>0.82</c:v>
                </c:pt>
                <c:pt idx="5">
                  <c:v>0.63</c:v>
                </c:pt>
                <c:pt idx="6">
                  <c:v>0.68</c:v>
                </c:pt>
                <c:pt idx="7">
                  <c:v>0.73</c:v>
                </c:pt>
                <c:pt idx="8">
                  <c:v>0.72</c:v>
                </c:pt>
                <c:pt idx="9">
                  <c:v>0.8</c:v>
                </c:pt>
                <c:pt idx="10">
                  <c:v>0.93</c:v>
                </c:pt>
                <c:pt idx="11">
                  <c:v>1.17</c:v>
                </c:pt>
                <c:pt idx="12">
                  <c:v>1.42</c:v>
                </c:pt>
                <c:pt idx="13">
                  <c:v>1.17</c:v>
                </c:pt>
                <c:pt idx="14">
                  <c:v>1.27</c:v>
                </c:pt>
                <c:pt idx="15">
                  <c:v>1.1100000000000001</c:v>
                </c:pt>
                <c:pt idx="16">
                  <c:v>1.1599999999999999</c:v>
                </c:pt>
                <c:pt idx="17">
                  <c:v>0.83</c:v>
                </c:pt>
                <c:pt idx="18">
                  <c:v>0.89</c:v>
                </c:pt>
                <c:pt idx="19">
                  <c:v>0.97</c:v>
                </c:pt>
                <c:pt idx="20">
                  <c:v>0.88</c:v>
                </c:pt>
                <c:pt idx="21">
                  <c:v>0.88</c:v>
                </c:pt>
                <c:pt idx="22">
                  <c:v>1.08</c:v>
                </c:pt>
                <c:pt idx="23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C72-4849-B1C7-31BB95EDDA0B}"/>
            </c:ext>
          </c:extLst>
        </c:ser>
        <c:ser>
          <c:idx val="2"/>
          <c:order val="1"/>
          <c:tx>
            <c:strRef>
              <c:f>Data!$V$2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10119846792718298"/>
                  <c:y val="0.3878679951997601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C72-4849-B1C7-31BB95EDDA0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3315587885155655"/>
                  <c:y val="0.3841915213116107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C72-4849-B1C7-31BB95EDDA0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7443420129553908"/>
                  <c:y val="0.3768385735353120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C72-4849-B1C7-31BB95EDDA0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1038628858545935"/>
                  <c:y val="0.3694856257590132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C72-4849-B1C7-31BB95EDDA0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5832240497201969"/>
                  <c:y val="0.4007356538082830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C72-4849-B1C7-31BB95EDDA0B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75765695066535677"/>
                  <c:y val="0.6158093762650220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C72-4849-B1C7-31BB95EDDA0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Data!$V$3:$V$29</c:f>
              <c:numCache>
                <c:formatCode>0.0%</c:formatCode>
                <c:ptCount val="25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  <c:pt idx="12">
                  <c:v>0.755</c:v>
                </c:pt>
                <c:pt idx="13">
                  <c:v>0.80700000000000005</c:v>
                </c:pt>
                <c:pt idx="14">
                  <c:v>0.83299999999999996</c:v>
                </c:pt>
                <c:pt idx="15">
                  <c:v>0.83699999999999997</c:v>
                </c:pt>
                <c:pt idx="16">
                  <c:v>0.82099999999999995</c:v>
                </c:pt>
                <c:pt idx="17">
                  <c:v>0.81100000000000005</c:v>
                </c:pt>
                <c:pt idx="18">
                  <c:v>0.755</c:v>
                </c:pt>
                <c:pt idx="19">
                  <c:v>0.61499999999999999</c:v>
                </c:pt>
                <c:pt idx="20">
                  <c:v>0.45</c:v>
                </c:pt>
                <c:pt idx="21">
                  <c:v>0.32100000000000001</c:v>
                </c:pt>
                <c:pt idx="22">
                  <c:v>0.29020000000000001</c:v>
                </c:pt>
                <c:pt idx="23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C72-4849-B1C7-31BB95EDD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215152"/>
        <c:axId val="1"/>
      </c:lineChart>
      <c:dateAx>
        <c:axId val="993215152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5"/>
          <c:min val="0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215152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Hydro Generation (GWh)</a:t>
            </a:r>
          </a:p>
        </c:rich>
      </c:tx>
      <c:layout>
        <c:manualLayout>
          <c:xMode val="edge"/>
          <c:yMode val="edge"/>
          <c:x val="0.33653846153846156"/>
          <c:y val="4.18604651162790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2307692307693"/>
          <c:y val="0.25116279069767444"/>
          <c:w val="0.82692307692307687"/>
          <c:h val="0.60465116279069764"/>
        </c:manualLayout>
      </c:layout>
      <c:lineChart>
        <c:grouping val="standard"/>
        <c:varyColors val="0"/>
        <c:ser>
          <c:idx val="0"/>
          <c:order val="0"/>
          <c:tx>
            <c:v>1999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Page1!$G$42:$G$53</c:f>
              <c:numCache>
                <c:formatCode>#,##0</c:formatCode>
                <c:ptCount val="12"/>
                <c:pt idx="0">
                  <c:v>27057.599999999999</c:v>
                </c:pt>
                <c:pt idx="1">
                  <c:v>25137</c:v>
                </c:pt>
                <c:pt idx="2">
                  <c:v>28507</c:v>
                </c:pt>
                <c:pt idx="3">
                  <c:v>26917</c:v>
                </c:pt>
                <c:pt idx="4">
                  <c:v>27147</c:v>
                </c:pt>
                <c:pt idx="5">
                  <c:v>26576</c:v>
                </c:pt>
                <c:pt idx="6">
                  <c:v>27818</c:v>
                </c:pt>
                <c:pt idx="7">
                  <c:v>27884</c:v>
                </c:pt>
                <c:pt idx="8">
                  <c:v>27287</c:v>
                </c:pt>
                <c:pt idx="9">
                  <c:v>27759</c:v>
                </c:pt>
                <c:pt idx="10">
                  <c:v>26734</c:v>
                </c:pt>
                <c:pt idx="11">
                  <c:v>27700.646999999997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F-4BF5-BC33-CFBC6B0A8858}"/>
            </c:ext>
          </c:extLst>
        </c:ser>
        <c:ser>
          <c:idx val="1"/>
          <c:order val="1"/>
          <c:tx>
            <c:v>2000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Page1!$F$42:$F$53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Page1!$H$42:$H$53</c:f>
              <c:numCache>
                <c:formatCode>#,##0</c:formatCode>
                <c:ptCount val="12"/>
                <c:pt idx="0">
                  <c:v>27687</c:v>
                </c:pt>
                <c:pt idx="1">
                  <c:v>26907</c:v>
                </c:pt>
                <c:pt idx="2">
                  <c:v>28799</c:v>
                </c:pt>
                <c:pt idx="3">
                  <c:v>27799</c:v>
                </c:pt>
                <c:pt idx="4">
                  <c:v>28801</c:v>
                </c:pt>
                <c:pt idx="5">
                  <c:v>27362</c:v>
                </c:pt>
                <c:pt idx="6">
                  <c:v>27666</c:v>
                </c:pt>
                <c:pt idx="7">
                  <c:v>27797.48</c:v>
                </c:pt>
                <c:pt idx="8">
                  <c:v>27472</c:v>
                </c:pt>
                <c:pt idx="9">
                  <c:v>30031</c:v>
                </c:pt>
                <c:pt idx="10">
                  <c:v>27567</c:v>
                </c:pt>
                <c:pt idx="11">
                  <c:v>27569.848678666665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F-4BF5-BC33-CFBC6B0A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263920"/>
        <c:axId val="1"/>
      </c:lineChart>
      <c:catAx>
        <c:axId val="102326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26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(% storage energy)</a:t>
            </a:r>
          </a:p>
        </c:rich>
      </c:tx>
      <c:layout>
        <c:manualLayout>
          <c:xMode val="edge"/>
          <c:yMode val="edge"/>
          <c:x val="0.29879553228013495"/>
          <c:y val="2.1929918490947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56731406169296E-2"/>
          <c:y val="6.5789755472842451E-2"/>
          <c:w val="0.90120587961911669"/>
          <c:h val="0.83333690265600435"/>
        </c:manualLayout>
      </c:layout>
      <c:lineChart>
        <c:grouping val="standard"/>
        <c:varyColors val="0"/>
        <c:ser>
          <c:idx val="0"/>
          <c:order val="0"/>
          <c:tx>
            <c:strRef>
              <c:f>Data!$B$35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Data!$B$36:$B$47</c:f>
              <c:numCache>
                <c:formatCode>0.0%</c:formatCode>
                <c:ptCount val="12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E-4213-8500-6161FA16F087}"/>
            </c:ext>
          </c:extLst>
        </c:ser>
        <c:ser>
          <c:idx val="1"/>
          <c:order val="1"/>
          <c:tx>
            <c:strRef>
              <c:f>Data!$C$35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Data!$C$36:$C$47</c:f>
              <c:numCache>
                <c:formatCode>0.0%</c:formatCode>
                <c:ptCount val="12"/>
                <c:pt idx="0">
                  <c:v>0.29299999999999998</c:v>
                </c:pt>
                <c:pt idx="1">
                  <c:v>0.45</c:v>
                </c:pt>
                <c:pt idx="2">
                  <c:v>0.58499999999999996</c:v>
                </c:pt>
                <c:pt idx="3">
                  <c:v>0.59399999999999997</c:v>
                </c:pt>
                <c:pt idx="4">
                  <c:v>0.54100000000000004</c:v>
                </c:pt>
                <c:pt idx="5">
                  <c:v>0.47299999999999998</c:v>
                </c:pt>
                <c:pt idx="6">
                  <c:v>0.40600000000000003</c:v>
                </c:pt>
                <c:pt idx="7">
                  <c:v>0.318</c:v>
                </c:pt>
                <c:pt idx="8">
                  <c:v>0.307</c:v>
                </c:pt>
                <c:pt idx="9">
                  <c:v>0.23</c:v>
                </c:pt>
                <c:pt idx="10">
                  <c:v>0.22090000000000001</c:v>
                </c:pt>
                <c:pt idx="11">
                  <c:v>0.28520000000000001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E-4213-8500-6161FA16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258352"/>
        <c:axId val="1"/>
      </c:lineChart>
      <c:catAx>
        <c:axId val="10232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25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(% storage energy)</a:t>
            </a:r>
          </a:p>
        </c:rich>
      </c:tx>
      <c:layout>
        <c:manualLayout>
          <c:xMode val="edge"/>
          <c:yMode val="edge"/>
          <c:x val="0.32195121951219513"/>
          <c:y val="2.18341076907659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780487804878"/>
          <c:y val="6.5502323072297766E-2"/>
          <c:w val="0.88536585365853659"/>
          <c:h val="0.83406291378725816"/>
        </c:manualLayout>
      </c:layout>
      <c:lineChart>
        <c:grouping val="standard"/>
        <c:varyColors val="0"/>
        <c:ser>
          <c:idx val="2"/>
          <c:order val="0"/>
          <c:tx>
            <c:strRef>
              <c:f>Data!$D$35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Data!$D$36:$D$47</c:f>
              <c:numCache>
                <c:formatCode>0.0%</c:formatCode>
                <c:ptCount val="12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4552-A612-E5E9E9008F29}"/>
            </c:ext>
          </c:extLst>
        </c:ser>
        <c:ser>
          <c:idx val="3"/>
          <c:order val="1"/>
          <c:tx>
            <c:strRef>
              <c:f>Data!$E$35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Data!$E$36:$E$47</c:f>
              <c:numCache>
                <c:formatCode>0.0%</c:formatCode>
                <c:ptCount val="12"/>
                <c:pt idx="0">
                  <c:v>0.47499999999999998</c:v>
                </c:pt>
                <c:pt idx="1">
                  <c:v>0.47299999999999998</c:v>
                </c:pt>
                <c:pt idx="2">
                  <c:v>0.52300000000000002</c:v>
                </c:pt>
                <c:pt idx="3">
                  <c:v>0.4</c:v>
                </c:pt>
                <c:pt idx="4">
                  <c:v>0.30199999999999999</c:v>
                </c:pt>
                <c:pt idx="5">
                  <c:v>0.41</c:v>
                </c:pt>
                <c:pt idx="6">
                  <c:v>0.441</c:v>
                </c:pt>
                <c:pt idx="7">
                  <c:v>0.46200000000000002</c:v>
                </c:pt>
                <c:pt idx="8">
                  <c:v>0.86699999999999999</c:v>
                </c:pt>
                <c:pt idx="9">
                  <c:v>0.96199999999999997</c:v>
                </c:pt>
                <c:pt idx="10">
                  <c:v>0.92900000000000005</c:v>
                </c:pt>
                <c:pt idx="11">
                  <c:v>0.89370000000000005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4552-A612-E5E9E900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107680"/>
        <c:axId val="1"/>
      </c:lineChart>
      <c:catAx>
        <c:axId val="10241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107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(% storage energy)</a:t>
            </a:r>
          </a:p>
        </c:rich>
      </c:tx>
      <c:layout>
        <c:manualLayout>
          <c:xMode val="edge"/>
          <c:yMode val="edge"/>
          <c:x val="0.30288461538461536"/>
          <c:y val="2.3148252804239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42307692307696E-2"/>
          <c:y val="6.9444758412717078E-2"/>
          <c:w val="0.90144230769230771"/>
          <c:h val="0.82407779983090923"/>
        </c:manualLayout>
      </c:layout>
      <c:lineChart>
        <c:grouping val="standard"/>
        <c:varyColors val="0"/>
        <c:ser>
          <c:idx val="4"/>
          <c:order val="0"/>
          <c:tx>
            <c:strRef>
              <c:f>Data!$F$35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Data!$F$36:$F$47</c:f>
              <c:numCache>
                <c:formatCode>0.0%</c:formatCode>
                <c:ptCount val="12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1-4D8A-BF31-6B9AE057744F}"/>
            </c:ext>
          </c:extLst>
        </c:ser>
        <c:ser>
          <c:idx val="5"/>
          <c:order val="1"/>
          <c:tx>
            <c:strRef>
              <c:f>Data!$G$35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Data!$G$36:$G$47</c:f>
              <c:numCache>
                <c:formatCode>0.0%</c:formatCode>
                <c:ptCount val="12"/>
                <c:pt idx="0">
                  <c:v>0.35700000000000004</c:v>
                </c:pt>
                <c:pt idx="1">
                  <c:v>0.54100000000000004</c:v>
                </c:pt>
                <c:pt idx="2">
                  <c:v>0.66</c:v>
                </c:pt>
                <c:pt idx="3">
                  <c:v>0.71199999999999997</c:v>
                </c:pt>
                <c:pt idx="4">
                  <c:v>0.67300000000000004</c:v>
                </c:pt>
                <c:pt idx="5">
                  <c:v>0.61799999999999999</c:v>
                </c:pt>
                <c:pt idx="6">
                  <c:v>0.55700000000000005</c:v>
                </c:pt>
                <c:pt idx="7">
                  <c:v>0.47</c:v>
                </c:pt>
                <c:pt idx="8">
                  <c:v>0.39300000000000002</c:v>
                </c:pt>
                <c:pt idx="9">
                  <c:v>0.28899999999999998</c:v>
                </c:pt>
                <c:pt idx="10">
                  <c:v>0.27539999999999998</c:v>
                </c:pt>
                <c:pt idx="11">
                  <c:v>0.36810000000000004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1-4D8A-BF31-6B9AE057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103504"/>
        <c:axId val="1"/>
      </c:lineChart>
      <c:catAx>
        <c:axId val="102410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10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(% storage energy)</a:t>
            </a:r>
          </a:p>
        </c:rich>
      </c:tx>
      <c:layout>
        <c:manualLayout>
          <c:xMode val="edge"/>
          <c:yMode val="edge"/>
          <c:x val="0.33902439024390246"/>
          <c:y val="2.3148252804239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243902439024387E-2"/>
          <c:y val="6.9444758412717078E-2"/>
          <c:w val="0.9"/>
          <c:h val="0.82407779983090923"/>
        </c:manualLayout>
      </c:layout>
      <c:lineChart>
        <c:grouping val="standard"/>
        <c:varyColors val="0"/>
        <c:ser>
          <c:idx val="6"/>
          <c:order val="0"/>
          <c:tx>
            <c:strRef>
              <c:f>Data!$H$35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Data!$H$36:$H$47</c:f>
              <c:numCache>
                <c:formatCode>0.0%</c:formatCode>
                <c:ptCount val="12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5-483E-95BC-3C2A0E77E849}"/>
            </c:ext>
          </c:extLst>
        </c:ser>
        <c:ser>
          <c:idx val="7"/>
          <c:order val="1"/>
          <c:tx>
            <c:strRef>
              <c:f>Data!$I$35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Data!$I$36:$I$47</c:f>
              <c:numCache>
                <c:formatCode>0.0%</c:formatCode>
                <c:ptCount val="12"/>
                <c:pt idx="0">
                  <c:v>0.755</c:v>
                </c:pt>
                <c:pt idx="1">
                  <c:v>0.80700000000000005</c:v>
                </c:pt>
                <c:pt idx="2">
                  <c:v>0.83299999999999996</c:v>
                </c:pt>
                <c:pt idx="3">
                  <c:v>0.83699999999999997</c:v>
                </c:pt>
                <c:pt idx="4">
                  <c:v>0.82099999999999995</c:v>
                </c:pt>
                <c:pt idx="5">
                  <c:v>0.81100000000000005</c:v>
                </c:pt>
                <c:pt idx="6">
                  <c:v>0.755</c:v>
                </c:pt>
                <c:pt idx="7">
                  <c:v>0.61499999999999999</c:v>
                </c:pt>
                <c:pt idx="8">
                  <c:v>0.45</c:v>
                </c:pt>
                <c:pt idx="9">
                  <c:v>0.32100000000000001</c:v>
                </c:pt>
                <c:pt idx="10">
                  <c:v>0.29020000000000001</c:v>
                </c:pt>
                <c:pt idx="11">
                  <c:v>0.59329999999999994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5-483E-95BC-3C2A0E77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108144"/>
        <c:axId val="1"/>
      </c:lineChart>
      <c:catAx>
        <c:axId val="102410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10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Submarket</a:t>
            </a:r>
          </a:p>
        </c:rich>
      </c:tx>
      <c:layout>
        <c:manualLayout>
          <c:xMode val="edge"/>
          <c:yMode val="edge"/>
          <c:x val="0.38983050847457629"/>
          <c:y val="1.2635379061371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6636245110821E-2"/>
          <c:y val="6.3176895306859202E-2"/>
          <c:w val="0.89960886571056065"/>
          <c:h val="0.85198555956678701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Data!$E$2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7068-4AE0-9BFC-51A39F9AE1E0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7068-4AE0-9BFC-51A39F9AE1E0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7068-4AE0-9BFC-51A39F9AE1E0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7068-4AE0-9BFC-51A39F9AE1E0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7068-4AE0-9BFC-51A39F9AE1E0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68-4AE0-9BFC-51A39F9AE1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Data!$E$3:$E$29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68-4AE0-9BFC-51A39F9AE1E0}"/>
            </c:ext>
          </c:extLst>
        </c:ser>
        <c:ser>
          <c:idx val="4"/>
          <c:order val="3"/>
          <c:tx>
            <c:strRef>
              <c:f>Data!$F$2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7068-4AE0-9BFC-51A39F9AE1E0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7068-4AE0-9BFC-51A39F9AE1E0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7068-4AE0-9BFC-51A39F9AE1E0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7068-4AE0-9BFC-51A39F9AE1E0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7068-4AE0-9BFC-51A39F9AE1E0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68-4AE0-9BFC-51A39F9AE1E0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Data!$F$3:$F$29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68-4AE0-9BFC-51A39F9AE1E0}"/>
            </c:ext>
          </c:extLst>
        </c:ser>
        <c:ser>
          <c:idx val="5"/>
          <c:order val="4"/>
          <c:tx>
            <c:strRef>
              <c:f>Data!$G$2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7068-4AE0-9BFC-51A39F9AE1E0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7068-4AE0-9BFC-51A39F9AE1E0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7068-4AE0-9BFC-51A39F9AE1E0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7068-4AE0-9BFC-51A39F9AE1E0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7068-4AE0-9BFC-51A39F9AE1E0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68-4AE0-9BFC-51A39F9AE1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Data!$G$3:$G$29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68-4AE0-9BFC-51A39F9A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Data!$C$3:$C$29</c:f>
              <c:numCache>
                <c:formatCode>0%</c:formatCode>
                <c:ptCount val="25"/>
                <c:pt idx="0">
                  <c:v>1.1100000000000001</c:v>
                </c:pt>
                <c:pt idx="1">
                  <c:v>0.88</c:v>
                </c:pt>
                <c:pt idx="2">
                  <c:v>1.0900000000000001</c:v>
                </c:pt>
                <c:pt idx="3">
                  <c:v>0.81</c:v>
                </c:pt>
                <c:pt idx="4">
                  <c:v>0.85</c:v>
                </c:pt>
                <c:pt idx="5">
                  <c:v>0.92</c:v>
                </c:pt>
                <c:pt idx="6">
                  <c:v>1.07</c:v>
                </c:pt>
                <c:pt idx="7">
                  <c:v>0.83</c:v>
                </c:pt>
                <c:pt idx="8">
                  <c:v>0.96</c:v>
                </c:pt>
                <c:pt idx="9">
                  <c:v>0.61</c:v>
                </c:pt>
                <c:pt idx="10">
                  <c:v>0.7</c:v>
                </c:pt>
                <c:pt idx="11">
                  <c:v>0.68</c:v>
                </c:pt>
                <c:pt idx="12">
                  <c:v>0.97</c:v>
                </c:pt>
                <c:pt idx="13">
                  <c:v>1.1499999999999999</c:v>
                </c:pt>
                <c:pt idx="14">
                  <c:v>1.0900000000000001</c:v>
                </c:pt>
                <c:pt idx="15">
                  <c:v>0.85</c:v>
                </c:pt>
                <c:pt idx="16">
                  <c:v>0.74</c:v>
                </c:pt>
                <c:pt idx="17">
                  <c:v>0.77</c:v>
                </c:pt>
                <c:pt idx="18">
                  <c:v>0.86</c:v>
                </c:pt>
                <c:pt idx="19">
                  <c:v>0.97</c:v>
                </c:pt>
                <c:pt idx="20">
                  <c:v>0.95</c:v>
                </c:pt>
                <c:pt idx="21">
                  <c:v>0.92</c:v>
                </c:pt>
                <c:pt idx="22">
                  <c:v>1.0900000000000001</c:v>
                </c:pt>
                <c:pt idx="23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68-4AE0-9BFC-51A39F9AE1E0}"/>
            </c:ext>
          </c:extLst>
        </c:ser>
        <c:ser>
          <c:idx val="2"/>
          <c:order val="1"/>
          <c:tx>
            <c:strRef>
              <c:f>Data!$D$2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3"/>
              <c:layout>
                <c:manualLayout>
                  <c:xMode val="edge"/>
                  <c:yMode val="edge"/>
                  <c:x val="0.88787483702737935"/>
                  <c:y val="0.7111913357400722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68-4AE0-9BFC-51A39F9AE1E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Data!$D$3:$D$29</c:f>
              <c:numCache>
                <c:formatCode>0.0%</c:formatCode>
                <c:ptCount val="25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  <c:pt idx="12">
                  <c:v>0.29299999999999998</c:v>
                </c:pt>
                <c:pt idx="13">
                  <c:v>0.45</c:v>
                </c:pt>
                <c:pt idx="14">
                  <c:v>0.58499999999999996</c:v>
                </c:pt>
                <c:pt idx="15">
                  <c:v>0.59399999999999997</c:v>
                </c:pt>
                <c:pt idx="16">
                  <c:v>0.54100000000000004</c:v>
                </c:pt>
                <c:pt idx="17">
                  <c:v>0.47299999999999998</c:v>
                </c:pt>
                <c:pt idx="18">
                  <c:v>0.40600000000000003</c:v>
                </c:pt>
                <c:pt idx="19">
                  <c:v>0.318</c:v>
                </c:pt>
                <c:pt idx="20">
                  <c:v>0.307</c:v>
                </c:pt>
                <c:pt idx="21">
                  <c:v>0.23</c:v>
                </c:pt>
                <c:pt idx="22">
                  <c:v>0.22090000000000001</c:v>
                </c:pt>
                <c:pt idx="23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68-4AE0-9BFC-51A39F9A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029056"/>
        <c:axId val="1"/>
      </c:lineChart>
      <c:dateAx>
        <c:axId val="1027029056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4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029056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Submarket</a:t>
            </a:r>
          </a:p>
        </c:rich>
      </c:tx>
      <c:layout>
        <c:manualLayout>
          <c:xMode val="edge"/>
          <c:yMode val="edge"/>
          <c:x val="0.40625051657424494"/>
          <c:y val="9.208119691168298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89654527860679E-2"/>
          <c:y val="2.9465983011738556E-2"/>
          <c:w val="0.90234489739087087"/>
          <c:h val="0.88582111429039023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Data!$K$2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EDC-4EF4-AB1B-494BE627558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1EDC-4EF4-AB1B-494BE627558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1EDC-4EF4-AB1B-494BE627558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EDC-4EF4-AB1B-494BE627558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1EDC-4EF4-AB1B-494BE627558F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DC-4EF4-AB1B-494BE627558F}"/>
                </c:ext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DC-4EF4-AB1B-494BE627558F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DC-4EF4-AB1B-494BE627558F}"/>
                </c:ext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DC-4EF4-AB1B-494BE62755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Data!$K$3:$K$29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175.99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DC-4EF4-AB1B-494BE627558F}"/>
            </c:ext>
          </c:extLst>
        </c:ser>
        <c:ser>
          <c:idx val="4"/>
          <c:order val="3"/>
          <c:tx>
            <c:strRef>
              <c:f>Data!$L$2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1EDC-4EF4-AB1B-494BE627558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1EDC-4EF4-AB1B-494BE627558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1EDC-4EF4-AB1B-494BE627558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1EDC-4EF4-AB1B-494BE627558F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1EDC-4EF4-AB1B-494BE627558F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DC-4EF4-AB1B-494BE627558F}"/>
                </c:ext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DC-4EF4-AB1B-494BE627558F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DC-4EF4-AB1B-494BE627558F}"/>
                </c:ext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DC-4EF4-AB1B-494BE627558F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Data!$L$3:$L$29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175.99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DC-4EF4-AB1B-494BE627558F}"/>
            </c:ext>
          </c:extLst>
        </c:ser>
        <c:ser>
          <c:idx val="5"/>
          <c:order val="4"/>
          <c:tx>
            <c:strRef>
              <c:f>Data!$M$2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1EDC-4EF4-AB1B-494BE627558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1EDC-4EF4-AB1B-494BE627558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1EDC-4EF4-AB1B-494BE627558F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1EDC-4EF4-AB1B-494BE627558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1EDC-4EF4-AB1B-494BE627558F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EDC-4EF4-AB1B-494BE627558F}"/>
                </c:ext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EDC-4EF4-AB1B-494BE627558F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DC-4EF4-AB1B-494BE627558F}"/>
                </c:ext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DC-4EF4-AB1B-494BE62755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Data!$M$3:$M$29</c:f>
              <c:numCache>
                <c:formatCode>General</c:formatCode>
                <c:ptCount val="25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27.45</c:v>
                </c:pt>
                <c:pt idx="22">
                  <c:v>147.15</c:v>
                </c:pt>
                <c:pt idx="23">
                  <c:v>101.77</c:v>
                </c:pt>
                <c:pt idx="2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DC-4EF4-AB1B-494BE627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Data!$I$2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Data!$I$3:$I$29</c:f>
              <c:numCache>
                <c:formatCode>0%</c:formatCode>
                <c:ptCount val="25"/>
                <c:pt idx="0">
                  <c:v>0.96</c:v>
                </c:pt>
                <c:pt idx="1">
                  <c:v>1.41</c:v>
                </c:pt>
                <c:pt idx="2">
                  <c:v>1.03</c:v>
                </c:pt>
                <c:pt idx="3">
                  <c:v>1.33</c:v>
                </c:pt>
                <c:pt idx="4">
                  <c:v>0.56000000000000005</c:v>
                </c:pt>
                <c:pt idx="5">
                  <c:v>1.17</c:v>
                </c:pt>
                <c:pt idx="6">
                  <c:v>2.04</c:v>
                </c:pt>
                <c:pt idx="7">
                  <c:v>0.42</c:v>
                </c:pt>
                <c:pt idx="8">
                  <c:v>0.47</c:v>
                </c:pt>
                <c:pt idx="9">
                  <c:v>1.1599999999999999</c:v>
                </c:pt>
                <c:pt idx="10">
                  <c:v>0.57999999999999996</c:v>
                </c:pt>
                <c:pt idx="11">
                  <c:v>0.59</c:v>
                </c:pt>
                <c:pt idx="12">
                  <c:v>0.82</c:v>
                </c:pt>
                <c:pt idx="13">
                  <c:v>1.08</c:v>
                </c:pt>
                <c:pt idx="14">
                  <c:v>1.25</c:v>
                </c:pt>
                <c:pt idx="15">
                  <c:v>0.63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0.92</c:v>
                </c:pt>
                <c:pt idx="19">
                  <c:v>0.67</c:v>
                </c:pt>
                <c:pt idx="20">
                  <c:v>2.1</c:v>
                </c:pt>
                <c:pt idx="21">
                  <c:v>1.84</c:v>
                </c:pt>
                <c:pt idx="22">
                  <c:v>0.85</c:v>
                </c:pt>
                <c:pt idx="2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EDC-4EF4-AB1B-494BE627558F}"/>
            </c:ext>
          </c:extLst>
        </c:ser>
        <c:ser>
          <c:idx val="2"/>
          <c:order val="1"/>
          <c:tx>
            <c:strRef>
              <c:f>Data!$J$2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Data!$J$3:$J$29</c:f>
              <c:numCache>
                <c:formatCode>0.0%</c:formatCode>
                <c:ptCount val="25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  <c:pt idx="12">
                  <c:v>0.47499999999999998</c:v>
                </c:pt>
                <c:pt idx="13">
                  <c:v>0.47299999999999998</c:v>
                </c:pt>
                <c:pt idx="14">
                  <c:v>0.52300000000000002</c:v>
                </c:pt>
                <c:pt idx="15">
                  <c:v>0.4</c:v>
                </c:pt>
                <c:pt idx="16">
                  <c:v>0.30199999999999999</c:v>
                </c:pt>
                <c:pt idx="17">
                  <c:v>0.41</c:v>
                </c:pt>
                <c:pt idx="18">
                  <c:v>0.441</c:v>
                </c:pt>
                <c:pt idx="19">
                  <c:v>0.46200000000000002</c:v>
                </c:pt>
                <c:pt idx="20">
                  <c:v>0.86699999999999999</c:v>
                </c:pt>
                <c:pt idx="21">
                  <c:v>0.96199999999999997</c:v>
                </c:pt>
                <c:pt idx="22">
                  <c:v>0.92900000000000005</c:v>
                </c:pt>
                <c:pt idx="23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EDC-4EF4-AB1B-494BE627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025808"/>
        <c:axId val="1"/>
      </c:lineChart>
      <c:dateAx>
        <c:axId val="1027025808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.1"/>
          <c:min val="0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025808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Submarket</a:t>
            </a:r>
          </a:p>
        </c:rich>
      </c:tx>
      <c:layout>
        <c:manualLayout>
          <c:xMode val="edge"/>
          <c:yMode val="edge"/>
          <c:x val="0.39062549670600472"/>
          <c:y val="1.08892921960072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89654527860679E-2"/>
          <c:y val="5.9891107078039928E-2"/>
          <c:w val="0.90234489739087087"/>
          <c:h val="0.85480943738656989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Data!$Q$2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9270-493C-B55D-61E4C4FB3994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270-493C-B55D-61E4C4FB3994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270-493C-B55D-61E4C4FB3994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270-493C-B55D-61E4C4FB3994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9270-493C-B55D-61E4C4FB3994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70-493C-B55D-61E4C4FB39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Data!$Q$3:$Q$29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 formatCode="0.0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0-493C-B55D-61E4C4FB3994}"/>
            </c:ext>
          </c:extLst>
        </c:ser>
        <c:ser>
          <c:idx val="4"/>
          <c:order val="3"/>
          <c:tx>
            <c:strRef>
              <c:f>Data!$R$2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9270-493C-B55D-61E4C4FB3994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9270-493C-B55D-61E4C4FB3994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9270-493C-B55D-61E4C4FB3994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270-493C-B55D-61E4C4FB3994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9270-493C-B55D-61E4C4FB3994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70-493C-B55D-61E4C4FB3994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Data!$R$3:$R$29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70-493C-B55D-61E4C4FB3994}"/>
            </c:ext>
          </c:extLst>
        </c:ser>
        <c:ser>
          <c:idx val="5"/>
          <c:order val="4"/>
          <c:tx>
            <c:strRef>
              <c:f>Data!$S$2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9270-493C-B55D-61E4C4FB3994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9270-493C-B55D-61E4C4FB3994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9270-493C-B55D-61E4C4FB3994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9270-493C-B55D-61E4C4FB3994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9270-493C-B55D-61E4C4FB3994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270-493C-B55D-61E4C4FB39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Data!$S$3:$S$29</c:f>
              <c:numCache>
                <c:formatCode>General</c:formatCode>
                <c:ptCount val="25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70-493C-B55D-61E4C4FB3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Data!$O$2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Data!$O$3:$O$29</c:f>
              <c:numCache>
                <c:formatCode>0%</c:formatCode>
                <c:ptCount val="25"/>
                <c:pt idx="0">
                  <c:v>0.69</c:v>
                </c:pt>
                <c:pt idx="1">
                  <c:v>0.34</c:v>
                </c:pt>
                <c:pt idx="2">
                  <c:v>0.89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0.72</c:v>
                </c:pt>
                <c:pt idx="7">
                  <c:v>0.63</c:v>
                </c:pt>
                <c:pt idx="8">
                  <c:v>0.6</c:v>
                </c:pt>
                <c:pt idx="9">
                  <c:v>0.56999999999999995</c:v>
                </c:pt>
                <c:pt idx="10">
                  <c:v>0.75</c:v>
                </c:pt>
                <c:pt idx="11">
                  <c:v>0.92</c:v>
                </c:pt>
                <c:pt idx="12">
                  <c:v>0.89</c:v>
                </c:pt>
                <c:pt idx="13">
                  <c:v>1.1000000000000001</c:v>
                </c:pt>
                <c:pt idx="14">
                  <c:v>0.91</c:v>
                </c:pt>
                <c:pt idx="15">
                  <c:v>0.9</c:v>
                </c:pt>
                <c:pt idx="16">
                  <c:v>0.73</c:v>
                </c:pt>
                <c:pt idx="17">
                  <c:v>0.76</c:v>
                </c:pt>
                <c:pt idx="18">
                  <c:v>0.78</c:v>
                </c:pt>
                <c:pt idx="19">
                  <c:v>0.73</c:v>
                </c:pt>
                <c:pt idx="20">
                  <c:v>0.83</c:v>
                </c:pt>
                <c:pt idx="21">
                  <c:v>0.69</c:v>
                </c:pt>
                <c:pt idx="22">
                  <c:v>0.9</c:v>
                </c:pt>
                <c:pt idx="23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70-493C-B55D-61E4C4FB3994}"/>
            </c:ext>
          </c:extLst>
        </c:ser>
        <c:ser>
          <c:idx val="2"/>
          <c:order val="1"/>
          <c:tx>
            <c:strRef>
              <c:f>Data!$P$2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0"/>
              <c:layout>
                <c:manualLayout>
                  <c:xMode val="edge"/>
                  <c:yMode val="edge"/>
                  <c:x val="0.79166767332416954"/>
                  <c:y val="0.6007259528130671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270-493C-B55D-61E4C4FB399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Data!$A$3:$A$29</c:f>
              <c:numCache>
                <c:formatCode>mmm\-yy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Data!$P$3:$P$29</c:f>
              <c:numCache>
                <c:formatCode>0.0%</c:formatCode>
                <c:ptCount val="25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  <c:pt idx="12">
                  <c:v>0.35700000000000004</c:v>
                </c:pt>
                <c:pt idx="13">
                  <c:v>0.54100000000000004</c:v>
                </c:pt>
                <c:pt idx="14">
                  <c:v>0.66</c:v>
                </c:pt>
                <c:pt idx="15">
                  <c:v>0.71199999999999997</c:v>
                </c:pt>
                <c:pt idx="16">
                  <c:v>0.67300000000000004</c:v>
                </c:pt>
                <c:pt idx="17">
                  <c:v>0.61799999999999999</c:v>
                </c:pt>
                <c:pt idx="18">
                  <c:v>0.55700000000000005</c:v>
                </c:pt>
                <c:pt idx="19">
                  <c:v>0.47</c:v>
                </c:pt>
                <c:pt idx="20">
                  <c:v>0.39300000000000002</c:v>
                </c:pt>
                <c:pt idx="21">
                  <c:v>0.28899999999999998</c:v>
                </c:pt>
                <c:pt idx="22">
                  <c:v>0.27539999999999998</c:v>
                </c:pt>
                <c:pt idx="23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70-493C-B55D-61E4C4FB3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214688"/>
        <c:axId val="1"/>
      </c:lineChart>
      <c:dateAx>
        <c:axId val="993214688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2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214688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85</xdr:row>
      <xdr:rowOff>0</xdr:rowOff>
    </xdr:from>
    <xdr:to>
      <xdr:col>17</xdr:col>
      <xdr:colOff>609600</xdr:colOff>
      <xdr:row>97</xdr:row>
      <xdr:rowOff>104775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F9207198-AF90-3EF5-AB2B-D14AF9A9A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85</xdr:row>
      <xdr:rowOff>9525</xdr:rowOff>
    </xdr:from>
    <xdr:to>
      <xdr:col>10</xdr:col>
      <xdr:colOff>476250</xdr:colOff>
      <xdr:row>97</xdr:row>
      <xdr:rowOff>114300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A326B185-C7B4-4B7C-4B52-3DD43F640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466725</xdr:colOff>
      <xdr:row>68</xdr:row>
      <xdr:rowOff>104775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3502B81B-891F-DCA6-C9EF-288B49393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54</xdr:row>
      <xdr:rowOff>142875</xdr:rowOff>
    </xdr:from>
    <xdr:to>
      <xdr:col>18</xdr:col>
      <xdr:colOff>0</xdr:colOff>
      <xdr:row>68</xdr:row>
      <xdr:rowOff>104775</xdr:rowOff>
    </xdr:to>
    <xdr:graphicFrame macro="">
      <xdr:nvGraphicFramePr>
        <xdr:cNvPr id="2480" name="Chart 432">
          <a:extLst>
            <a:ext uri="{FF2B5EF4-FFF2-40B4-BE49-F238E27FC236}">
              <a16:creationId xmlns:a16="http://schemas.microsoft.com/office/drawing/2014/main" id="{0D7ABE1F-E3A5-F518-6152-E91CC1734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70</xdr:row>
      <xdr:rowOff>38100</xdr:rowOff>
    </xdr:from>
    <xdr:to>
      <xdr:col>10</xdr:col>
      <xdr:colOff>476250</xdr:colOff>
      <xdr:row>83</xdr:row>
      <xdr:rowOff>152400</xdr:rowOff>
    </xdr:to>
    <xdr:graphicFrame macro="">
      <xdr:nvGraphicFramePr>
        <xdr:cNvPr id="2481" name="Chart 433">
          <a:extLst>
            <a:ext uri="{FF2B5EF4-FFF2-40B4-BE49-F238E27FC236}">
              <a16:creationId xmlns:a16="http://schemas.microsoft.com/office/drawing/2014/main" id="{120FF3BA-354B-61E3-826E-3510826E7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114300</xdr:colOff>
      <xdr:row>70</xdr:row>
      <xdr:rowOff>28575</xdr:rowOff>
    </xdr:from>
    <xdr:to>
      <xdr:col>18</xdr:col>
      <xdr:colOff>0</xdr:colOff>
      <xdr:row>83</xdr:row>
      <xdr:rowOff>142875</xdr:rowOff>
    </xdr:to>
    <xdr:graphicFrame macro="">
      <xdr:nvGraphicFramePr>
        <xdr:cNvPr id="2482" name="Chart 434">
          <a:extLst>
            <a:ext uri="{FF2B5EF4-FFF2-40B4-BE49-F238E27FC236}">
              <a16:creationId xmlns:a16="http://schemas.microsoft.com/office/drawing/2014/main" id="{3A11C32B-6708-E313-8A41-3F5FDECAB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66675</xdr:colOff>
      <xdr:row>63</xdr:row>
      <xdr:rowOff>38100</xdr:rowOff>
    </xdr:from>
    <xdr:to>
      <xdr:col>8</xdr:col>
      <xdr:colOff>371475</xdr:colOff>
      <xdr:row>64</xdr:row>
      <xdr:rowOff>28575</xdr:rowOff>
    </xdr:to>
    <xdr:sp macro="" textlink="">
      <xdr:nvSpPr>
        <xdr:cNvPr id="2483" name="Text Box 435">
          <a:extLst>
            <a:ext uri="{FF2B5EF4-FFF2-40B4-BE49-F238E27FC236}">
              <a16:creationId xmlns:a16="http://schemas.microsoft.com/office/drawing/2014/main" id="{1021BACE-67A8-00C6-8486-D7957DA7445F}"/>
            </a:ext>
          </a:extLst>
        </xdr:cNvPr>
        <xdr:cNvSpPr txBox="1">
          <a:spLocks noChangeArrowheads="1"/>
        </xdr:cNvSpPr>
      </xdr:nvSpPr>
      <xdr:spPr bwMode="auto">
        <a:xfrm>
          <a:off x="5810250" y="9772650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8</xdr:col>
      <xdr:colOff>466725</xdr:colOff>
      <xdr:row>60</xdr:row>
      <xdr:rowOff>133350</xdr:rowOff>
    </xdr:from>
    <xdr:to>
      <xdr:col>9</xdr:col>
      <xdr:colOff>152400</xdr:colOff>
      <xdr:row>61</xdr:row>
      <xdr:rowOff>123825</xdr:rowOff>
    </xdr:to>
    <xdr:sp macro="" textlink="">
      <xdr:nvSpPr>
        <xdr:cNvPr id="2484" name="Text Box 436">
          <a:extLst>
            <a:ext uri="{FF2B5EF4-FFF2-40B4-BE49-F238E27FC236}">
              <a16:creationId xmlns:a16="http://schemas.microsoft.com/office/drawing/2014/main" id="{D257978A-30D4-A61F-773C-530D3227017B}"/>
            </a:ext>
          </a:extLst>
        </xdr:cNvPr>
        <xdr:cNvSpPr txBox="1">
          <a:spLocks noChangeArrowheads="1"/>
        </xdr:cNvSpPr>
      </xdr:nvSpPr>
      <xdr:spPr bwMode="auto">
        <a:xfrm>
          <a:off x="6210300" y="9401175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15</xdr:col>
      <xdr:colOff>609600</xdr:colOff>
      <xdr:row>75</xdr:row>
      <xdr:rowOff>19050</xdr:rowOff>
    </xdr:from>
    <xdr:to>
      <xdr:col>16</xdr:col>
      <xdr:colOff>295275</xdr:colOff>
      <xdr:row>76</xdr:row>
      <xdr:rowOff>0</xdr:rowOff>
    </xdr:to>
    <xdr:sp macro="" textlink="">
      <xdr:nvSpPr>
        <xdr:cNvPr id="2485" name="Text Box 437">
          <a:extLst>
            <a:ext uri="{FF2B5EF4-FFF2-40B4-BE49-F238E27FC236}">
              <a16:creationId xmlns:a16="http://schemas.microsoft.com/office/drawing/2014/main" id="{AA323E32-A865-62F6-96CE-A2B7BCD46739}"/>
            </a:ext>
          </a:extLst>
        </xdr:cNvPr>
        <xdr:cNvSpPr txBox="1">
          <a:spLocks noChangeArrowheads="1"/>
        </xdr:cNvSpPr>
      </xdr:nvSpPr>
      <xdr:spPr bwMode="auto">
        <a:xfrm>
          <a:off x="10372725" y="11601450"/>
          <a:ext cx="30480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8</xdr:col>
      <xdr:colOff>552450</xdr:colOff>
      <xdr:row>76</xdr:row>
      <xdr:rowOff>28575</xdr:rowOff>
    </xdr:from>
    <xdr:to>
      <xdr:col>9</xdr:col>
      <xdr:colOff>238125</xdr:colOff>
      <xdr:row>77</xdr:row>
      <xdr:rowOff>9525</xdr:rowOff>
    </xdr:to>
    <xdr:sp macro="" textlink="">
      <xdr:nvSpPr>
        <xdr:cNvPr id="2486" name="Text Box 438">
          <a:extLst>
            <a:ext uri="{FF2B5EF4-FFF2-40B4-BE49-F238E27FC236}">
              <a16:creationId xmlns:a16="http://schemas.microsoft.com/office/drawing/2014/main" id="{5B5D0C5C-0DC4-B160-A8E1-AF092B398B1C}"/>
            </a:ext>
          </a:extLst>
        </xdr:cNvPr>
        <xdr:cNvSpPr txBox="1">
          <a:spLocks noChangeArrowheads="1"/>
        </xdr:cNvSpPr>
      </xdr:nvSpPr>
      <xdr:spPr bwMode="auto">
        <a:xfrm>
          <a:off x="6296025" y="11753850"/>
          <a:ext cx="30480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15</xdr:col>
      <xdr:colOff>295275</xdr:colOff>
      <xdr:row>62</xdr:row>
      <xdr:rowOff>142875</xdr:rowOff>
    </xdr:from>
    <xdr:to>
      <xdr:col>15</xdr:col>
      <xdr:colOff>600075</xdr:colOff>
      <xdr:row>63</xdr:row>
      <xdr:rowOff>123825</xdr:rowOff>
    </xdr:to>
    <xdr:sp macro="" textlink="">
      <xdr:nvSpPr>
        <xdr:cNvPr id="2487" name="Text Box 439">
          <a:extLst>
            <a:ext uri="{FF2B5EF4-FFF2-40B4-BE49-F238E27FC236}">
              <a16:creationId xmlns:a16="http://schemas.microsoft.com/office/drawing/2014/main" id="{46DF143F-9435-98F7-E7CF-A92B9685B1A3}"/>
            </a:ext>
          </a:extLst>
        </xdr:cNvPr>
        <xdr:cNvSpPr txBox="1">
          <a:spLocks noChangeArrowheads="1"/>
        </xdr:cNvSpPr>
      </xdr:nvSpPr>
      <xdr:spPr bwMode="auto">
        <a:xfrm>
          <a:off x="10058400" y="9705975"/>
          <a:ext cx="3048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7</xdr:col>
      <xdr:colOff>323850</xdr:colOff>
      <xdr:row>89</xdr:row>
      <xdr:rowOff>104775</xdr:rowOff>
    </xdr:from>
    <xdr:to>
      <xdr:col>8</xdr:col>
      <xdr:colOff>9525</xdr:colOff>
      <xdr:row>90</xdr:row>
      <xdr:rowOff>66675</xdr:rowOff>
    </xdr:to>
    <xdr:sp macro="" textlink="">
      <xdr:nvSpPr>
        <xdr:cNvPr id="2488" name="Text Box 440">
          <a:extLst>
            <a:ext uri="{FF2B5EF4-FFF2-40B4-BE49-F238E27FC236}">
              <a16:creationId xmlns:a16="http://schemas.microsoft.com/office/drawing/2014/main" id="{64B10D93-9251-AD44-C624-F7C2364082D1}"/>
            </a:ext>
          </a:extLst>
        </xdr:cNvPr>
        <xdr:cNvSpPr txBox="1">
          <a:spLocks noChangeArrowheads="1"/>
        </xdr:cNvSpPr>
      </xdr:nvSpPr>
      <xdr:spPr bwMode="auto">
        <a:xfrm>
          <a:off x="5448300" y="13858875"/>
          <a:ext cx="30480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15</xdr:col>
      <xdr:colOff>104775</xdr:colOff>
      <xdr:row>89</xdr:row>
      <xdr:rowOff>19050</xdr:rowOff>
    </xdr:from>
    <xdr:to>
      <xdr:col>15</xdr:col>
      <xdr:colOff>409575</xdr:colOff>
      <xdr:row>89</xdr:row>
      <xdr:rowOff>152400</xdr:rowOff>
    </xdr:to>
    <xdr:sp macro="" textlink="">
      <xdr:nvSpPr>
        <xdr:cNvPr id="2492" name="Text Box 444">
          <a:extLst>
            <a:ext uri="{FF2B5EF4-FFF2-40B4-BE49-F238E27FC236}">
              <a16:creationId xmlns:a16="http://schemas.microsoft.com/office/drawing/2014/main" id="{6AFCE55B-63C8-3FDD-77C1-9E254AA4D840}"/>
            </a:ext>
          </a:extLst>
        </xdr:cNvPr>
        <xdr:cNvSpPr txBox="1">
          <a:spLocks noChangeArrowheads="1"/>
        </xdr:cNvSpPr>
      </xdr:nvSpPr>
      <xdr:spPr bwMode="auto">
        <a:xfrm>
          <a:off x="9867900" y="13773150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xdr:txBody>
    </xdr:sp>
    <xdr:clientData/>
  </xdr:twoCellAnchor>
  <xdr:twoCellAnchor>
    <xdr:from>
      <xdr:col>16</xdr:col>
      <xdr:colOff>523875</xdr:colOff>
      <xdr:row>91</xdr:row>
      <xdr:rowOff>76200</xdr:rowOff>
    </xdr:from>
    <xdr:to>
      <xdr:col>17</xdr:col>
      <xdr:colOff>209550</xdr:colOff>
      <xdr:row>92</xdr:row>
      <xdr:rowOff>47625</xdr:rowOff>
    </xdr:to>
    <xdr:sp macro="" textlink="">
      <xdr:nvSpPr>
        <xdr:cNvPr id="2493" name="Text Box 445">
          <a:extLst>
            <a:ext uri="{FF2B5EF4-FFF2-40B4-BE49-F238E27FC236}">
              <a16:creationId xmlns:a16="http://schemas.microsoft.com/office/drawing/2014/main" id="{42A4C27C-CCEB-A764-4CCE-C37A7B4F8104}"/>
            </a:ext>
          </a:extLst>
        </xdr:cNvPr>
        <xdr:cNvSpPr txBox="1">
          <a:spLocks noChangeArrowheads="1"/>
        </xdr:cNvSpPr>
      </xdr:nvSpPr>
      <xdr:spPr bwMode="auto">
        <a:xfrm>
          <a:off x="10906125" y="14154150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7</xdr:col>
      <xdr:colOff>400050</xdr:colOff>
      <xdr:row>92</xdr:row>
      <xdr:rowOff>123825</xdr:rowOff>
    </xdr:from>
    <xdr:to>
      <xdr:col>8</xdr:col>
      <xdr:colOff>85725</xdr:colOff>
      <xdr:row>93</xdr:row>
      <xdr:rowOff>95250</xdr:rowOff>
    </xdr:to>
    <xdr:sp macro="" textlink="">
      <xdr:nvSpPr>
        <xdr:cNvPr id="2494" name="Text Box 446">
          <a:extLst>
            <a:ext uri="{FF2B5EF4-FFF2-40B4-BE49-F238E27FC236}">
              <a16:creationId xmlns:a16="http://schemas.microsoft.com/office/drawing/2014/main" id="{35E41CB7-E009-3245-1F72-A4F9D03F2003}"/>
            </a:ext>
          </a:extLst>
        </xdr:cNvPr>
        <xdr:cNvSpPr txBox="1">
          <a:spLocks noChangeArrowheads="1"/>
        </xdr:cNvSpPr>
      </xdr:nvSpPr>
      <xdr:spPr bwMode="auto">
        <a:xfrm>
          <a:off x="5524500" y="14363700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8</xdr:col>
      <xdr:colOff>504825</xdr:colOff>
      <xdr:row>80</xdr:row>
      <xdr:rowOff>76200</xdr:rowOff>
    </xdr:from>
    <xdr:to>
      <xdr:col>9</xdr:col>
      <xdr:colOff>190500</xdr:colOff>
      <xdr:row>81</xdr:row>
      <xdr:rowOff>47625</xdr:rowOff>
    </xdr:to>
    <xdr:sp macro="" textlink="">
      <xdr:nvSpPr>
        <xdr:cNvPr id="2495" name="Text Box 447">
          <a:extLst>
            <a:ext uri="{FF2B5EF4-FFF2-40B4-BE49-F238E27FC236}">
              <a16:creationId xmlns:a16="http://schemas.microsoft.com/office/drawing/2014/main" id="{0C4FEF8B-8D1B-F95D-3721-480199DEEA05}"/>
            </a:ext>
          </a:extLst>
        </xdr:cNvPr>
        <xdr:cNvSpPr txBox="1">
          <a:spLocks noChangeArrowheads="1"/>
        </xdr:cNvSpPr>
      </xdr:nvSpPr>
      <xdr:spPr bwMode="auto">
        <a:xfrm>
          <a:off x="6248400" y="12372975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16</xdr:col>
      <xdr:colOff>428625</xdr:colOff>
      <xdr:row>80</xdr:row>
      <xdr:rowOff>38100</xdr:rowOff>
    </xdr:from>
    <xdr:to>
      <xdr:col>17</xdr:col>
      <xdr:colOff>114300</xdr:colOff>
      <xdr:row>81</xdr:row>
      <xdr:rowOff>9525</xdr:rowOff>
    </xdr:to>
    <xdr:sp macro="" textlink="">
      <xdr:nvSpPr>
        <xdr:cNvPr id="2496" name="Text Box 448">
          <a:extLst>
            <a:ext uri="{FF2B5EF4-FFF2-40B4-BE49-F238E27FC236}">
              <a16:creationId xmlns:a16="http://schemas.microsoft.com/office/drawing/2014/main" id="{DEAEC54D-95AE-3A95-B0DD-3100B9F5287C}"/>
            </a:ext>
          </a:extLst>
        </xdr:cNvPr>
        <xdr:cNvSpPr txBox="1">
          <a:spLocks noChangeArrowheads="1"/>
        </xdr:cNvSpPr>
      </xdr:nvSpPr>
      <xdr:spPr bwMode="auto">
        <a:xfrm>
          <a:off x="10810875" y="12334875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16</xdr:col>
      <xdr:colOff>581025</xdr:colOff>
      <xdr:row>61</xdr:row>
      <xdr:rowOff>85725</xdr:rowOff>
    </xdr:from>
    <xdr:to>
      <xdr:col>17</xdr:col>
      <xdr:colOff>266700</xdr:colOff>
      <xdr:row>62</xdr:row>
      <xdr:rowOff>66675</xdr:rowOff>
    </xdr:to>
    <xdr:sp macro="" textlink="">
      <xdr:nvSpPr>
        <xdr:cNvPr id="2497" name="Text Box 449">
          <a:extLst>
            <a:ext uri="{FF2B5EF4-FFF2-40B4-BE49-F238E27FC236}">
              <a16:creationId xmlns:a16="http://schemas.microsoft.com/office/drawing/2014/main" id="{F7235DEE-1315-C477-497A-A23C45E995F6}"/>
            </a:ext>
          </a:extLst>
        </xdr:cNvPr>
        <xdr:cNvSpPr txBox="1">
          <a:spLocks noChangeArrowheads="1"/>
        </xdr:cNvSpPr>
      </xdr:nvSpPr>
      <xdr:spPr bwMode="auto">
        <a:xfrm>
          <a:off x="10963275" y="9496425"/>
          <a:ext cx="3048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xdr:txBody>
    </xdr:sp>
    <xdr:clientData/>
  </xdr:twoCellAnchor>
  <xdr:twoCellAnchor>
    <xdr:from>
      <xdr:col>0</xdr:col>
      <xdr:colOff>200025</xdr:colOff>
      <xdr:row>71</xdr:row>
      <xdr:rowOff>28575</xdr:rowOff>
    </xdr:from>
    <xdr:to>
      <xdr:col>1</xdr:col>
      <xdr:colOff>361950</xdr:colOff>
      <xdr:row>84</xdr:row>
      <xdr:rowOff>28131</xdr:rowOff>
    </xdr:to>
    <xdr:grpSp>
      <xdr:nvGrpSpPr>
        <xdr:cNvPr id="2652" name="Group 604">
          <a:extLst>
            <a:ext uri="{FF2B5EF4-FFF2-40B4-BE49-F238E27FC236}">
              <a16:creationId xmlns:a16="http://schemas.microsoft.com/office/drawing/2014/main" id="{6E9346D7-A73C-217E-4E09-9F9A8917619F}"/>
            </a:ext>
          </a:extLst>
        </xdr:cNvPr>
        <xdr:cNvGrpSpPr>
          <a:grpSpLocks/>
        </xdr:cNvGrpSpPr>
      </xdr:nvGrpSpPr>
      <xdr:grpSpPr bwMode="auto">
        <a:xfrm>
          <a:off x="200025" y="11010900"/>
          <a:ext cx="1352550" cy="1961706"/>
          <a:chOff x="144" y="1296"/>
          <a:chExt cx="1171" cy="1690"/>
        </a:xfrm>
      </xdr:grpSpPr>
      <xdr:sp macro="" textlink="">
        <xdr:nvSpPr>
          <xdr:cNvPr id="2653" name="Rectangle 605">
            <a:extLst>
              <a:ext uri="{FF2B5EF4-FFF2-40B4-BE49-F238E27FC236}">
                <a16:creationId xmlns:a16="http://schemas.microsoft.com/office/drawing/2014/main" id="{CB880CA1-C629-064F-CCEF-2A5DC2492A36}"/>
              </a:ext>
            </a:extLst>
          </xdr:cNvPr>
          <xdr:cNvSpPr>
            <a:spLocks noChangeArrowheads="1"/>
          </xdr:cNvSpPr>
        </xdr:nvSpPr>
        <xdr:spPr bwMode="auto">
          <a:xfrm>
            <a:off x="178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654" name="Line 606">
            <a:extLst>
              <a:ext uri="{FF2B5EF4-FFF2-40B4-BE49-F238E27FC236}">
                <a16:creationId xmlns:a16="http://schemas.microsoft.com/office/drawing/2014/main" id="{1DF60724-73E7-4B42-7ABC-50E3DC7AB4D9}"/>
              </a:ext>
            </a:extLst>
          </xdr:cNvPr>
          <xdr:cNvSpPr>
            <a:spLocks noChangeShapeType="1"/>
          </xdr:cNvSpPr>
        </xdr:nvSpPr>
        <xdr:spPr bwMode="auto">
          <a:xfrm>
            <a:off x="706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5" name="Line 607">
            <a:extLst>
              <a:ext uri="{FF2B5EF4-FFF2-40B4-BE49-F238E27FC236}">
                <a16:creationId xmlns:a16="http://schemas.microsoft.com/office/drawing/2014/main" id="{A5D7FBB2-6FC4-1C25-619D-72D761C057BA}"/>
              </a:ext>
            </a:extLst>
          </xdr:cNvPr>
          <xdr:cNvSpPr>
            <a:spLocks noChangeShapeType="1"/>
          </xdr:cNvSpPr>
        </xdr:nvSpPr>
        <xdr:spPr bwMode="auto">
          <a:xfrm>
            <a:off x="322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6" name="Text Box 608">
            <a:extLst>
              <a:ext uri="{FF2B5EF4-FFF2-40B4-BE49-F238E27FC236}">
                <a16:creationId xmlns:a16="http://schemas.microsoft.com/office/drawing/2014/main" id="{1A2361FE-0C04-F8C3-157F-0BC079540CC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4" y="1493"/>
            <a:ext cx="240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7" name="Text Box 609">
            <a:extLst>
              <a:ext uri="{FF2B5EF4-FFF2-40B4-BE49-F238E27FC236}">
                <a16:creationId xmlns:a16="http://schemas.microsoft.com/office/drawing/2014/main" id="{7D6F86EB-F10C-0D8F-5A70-1C5F8E52B49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01" y="1485"/>
            <a:ext cx="314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8" name="Text Box 610">
            <a:extLst>
              <a:ext uri="{FF2B5EF4-FFF2-40B4-BE49-F238E27FC236}">
                <a16:creationId xmlns:a16="http://schemas.microsoft.com/office/drawing/2014/main" id="{A00D4354-DCAA-5DAA-7FBC-46D5D4A82718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9" y="2732"/>
            <a:ext cx="74" cy="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9" name="AutoShape 611">
            <a:extLst>
              <a:ext uri="{FF2B5EF4-FFF2-40B4-BE49-F238E27FC236}">
                <a16:creationId xmlns:a16="http://schemas.microsoft.com/office/drawing/2014/main" id="{5C7CEFA4-DC72-B44B-3C8D-5A0C44E1B9BB}"/>
              </a:ext>
            </a:extLst>
          </xdr:cNvPr>
          <xdr:cNvSpPr>
            <a:spLocks noChangeArrowheads="1"/>
          </xdr:cNvSpPr>
        </xdr:nvSpPr>
        <xdr:spPr bwMode="auto">
          <a:xfrm>
            <a:off x="680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60" name="Line 612">
            <a:extLst>
              <a:ext uri="{FF2B5EF4-FFF2-40B4-BE49-F238E27FC236}">
                <a16:creationId xmlns:a16="http://schemas.microsoft.com/office/drawing/2014/main" id="{24E45B2A-B90F-2061-BC0F-F1CA491ACA6F}"/>
              </a:ext>
            </a:extLst>
          </xdr:cNvPr>
          <xdr:cNvSpPr>
            <a:spLocks noChangeShapeType="1"/>
          </xdr:cNvSpPr>
        </xdr:nvSpPr>
        <xdr:spPr bwMode="auto">
          <a:xfrm>
            <a:off x="370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1" name="Line 613">
            <a:extLst>
              <a:ext uri="{FF2B5EF4-FFF2-40B4-BE49-F238E27FC236}">
                <a16:creationId xmlns:a16="http://schemas.microsoft.com/office/drawing/2014/main" id="{77F19743-08EA-1D79-EFAF-0F0CD44CD587}"/>
              </a:ext>
            </a:extLst>
          </xdr:cNvPr>
          <xdr:cNvSpPr>
            <a:spLocks noChangeShapeType="1"/>
          </xdr:cNvSpPr>
        </xdr:nvSpPr>
        <xdr:spPr bwMode="auto">
          <a:xfrm>
            <a:off x="802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2" name="Line 614">
            <a:extLst>
              <a:ext uri="{FF2B5EF4-FFF2-40B4-BE49-F238E27FC236}">
                <a16:creationId xmlns:a16="http://schemas.microsoft.com/office/drawing/2014/main" id="{525437D1-C2CD-95C2-21E3-CD572FFA8FE3}"/>
              </a:ext>
            </a:extLst>
          </xdr:cNvPr>
          <xdr:cNvSpPr>
            <a:spLocks noChangeShapeType="1"/>
          </xdr:cNvSpPr>
        </xdr:nvSpPr>
        <xdr:spPr bwMode="auto">
          <a:xfrm flipH="1">
            <a:off x="802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3" name="Line 615">
            <a:extLst>
              <a:ext uri="{FF2B5EF4-FFF2-40B4-BE49-F238E27FC236}">
                <a16:creationId xmlns:a16="http://schemas.microsoft.com/office/drawing/2014/main" id="{66417943-6920-4B7F-DF28-64C1947E84B4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4" name="Line 616">
            <a:extLst>
              <a:ext uri="{FF2B5EF4-FFF2-40B4-BE49-F238E27FC236}">
                <a16:creationId xmlns:a16="http://schemas.microsoft.com/office/drawing/2014/main" id="{875343B4-A064-382C-05C3-AC154186853F}"/>
              </a:ext>
            </a:extLst>
          </xdr:cNvPr>
          <xdr:cNvSpPr>
            <a:spLocks noChangeShapeType="1"/>
          </xdr:cNvSpPr>
        </xdr:nvSpPr>
        <xdr:spPr bwMode="auto">
          <a:xfrm flipV="1">
            <a:off x="610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5" name="Line 617">
            <a:extLst>
              <a:ext uri="{FF2B5EF4-FFF2-40B4-BE49-F238E27FC236}">
                <a16:creationId xmlns:a16="http://schemas.microsoft.com/office/drawing/2014/main" id="{50818B22-DAD1-C624-7300-145E1DAB9576}"/>
              </a:ext>
            </a:extLst>
          </xdr:cNvPr>
          <xdr:cNvSpPr>
            <a:spLocks noChangeShapeType="1"/>
          </xdr:cNvSpPr>
        </xdr:nvSpPr>
        <xdr:spPr bwMode="auto">
          <a:xfrm flipV="1">
            <a:off x="802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6" name="Text Box 618">
            <a:extLst>
              <a:ext uri="{FF2B5EF4-FFF2-40B4-BE49-F238E27FC236}">
                <a16:creationId xmlns:a16="http://schemas.microsoft.com/office/drawing/2014/main" id="{6AC775C4-E3DC-CF30-5561-CD2192762AB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" y="2018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938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7" name="Text Box 619">
            <a:extLst>
              <a:ext uri="{FF2B5EF4-FFF2-40B4-BE49-F238E27FC236}">
                <a16:creationId xmlns:a16="http://schemas.microsoft.com/office/drawing/2014/main" id="{DD74CD71-7352-29A6-609B-86ABBB8FB1E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3" y="2018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8" name="Text Box 620">
            <a:extLst>
              <a:ext uri="{FF2B5EF4-FFF2-40B4-BE49-F238E27FC236}">
                <a16:creationId xmlns:a16="http://schemas.microsoft.com/office/drawing/2014/main" id="{512BB151-C173-5C07-7941-8740E5D7D7A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" y="1682"/>
            <a:ext cx="28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9" name="Text Box 621">
            <a:extLst>
              <a:ext uri="{FF2B5EF4-FFF2-40B4-BE49-F238E27FC236}">
                <a16:creationId xmlns:a16="http://schemas.microsoft.com/office/drawing/2014/main" id="{1151153A-3A55-5365-6521-167EA21FD81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3" y="1682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676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0" name="Text Box 622">
            <a:extLst>
              <a:ext uri="{FF2B5EF4-FFF2-40B4-BE49-F238E27FC236}">
                <a16:creationId xmlns:a16="http://schemas.microsoft.com/office/drawing/2014/main" id="{8443220E-074B-D9BB-08F9-24F6FEE218CF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0" y="1353"/>
            <a:ext cx="280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1" name="Text Box 623">
            <a:extLst>
              <a:ext uri="{FF2B5EF4-FFF2-40B4-BE49-F238E27FC236}">
                <a16:creationId xmlns:a16="http://schemas.microsoft.com/office/drawing/2014/main" id="{739B5165-AD2F-E9A2-AAAC-7B433696CB7F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4" y="1353"/>
            <a:ext cx="231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491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2" name="Line 624">
            <a:extLst>
              <a:ext uri="{FF2B5EF4-FFF2-40B4-BE49-F238E27FC236}">
                <a16:creationId xmlns:a16="http://schemas.microsoft.com/office/drawing/2014/main" id="{EFD5E24D-9831-77FD-4267-B5695F124911}"/>
              </a:ext>
            </a:extLst>
          </xdr:cNvPr>
          <xdr:cNvSpPr>
            <a:spLocks noChangeShapeType="1"/>
          </xdr:cNvSpPr>
        </xdr:nvSpPr>
        <xdr:spPr bwMode="auto">
          <a:xfrm flipV="1">
            <a:off x="802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3" name="Text Box 625">
            <a:extLst>
              <a:ext uri="{FF2B5EF4-FFF2-40B4-BE49-F238E27FC236}">
                <a16:creationId xmlns:a16="http://schemas.microsoft.com/office/drawing/2014/main" id="{40D1E5BD-B667-5D0F-8671-19B3291F391F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4" y="2158"/>
            <a:ext cx="231" cy="2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4" name="Line 626">
            <a:extLst>
              <a:ext uri="{FF2B5EF4-FFF2-40B4-BE49-F238E27FC236}">
                <a16:creationId xmlns:a16="http://schemas.microsoft.com/office/drawing/2014/main" id="{3D16F55A-BC05-B5E6-91BF-DBCE37326BB8}"/>
              </a:ext>
            </a:extLst>
          </xdr:cNvPr>
          <xdr:cNvSpPr>
            <a:spLocks noChangeShapeType="1"/>
          </xdr:cNvSpPr>
        </xdr:nvSpPr>
        <xdr:spPr bwMode="auto">
          <a:xfrm flipV="1">
            <a:off x="610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5" name="Text Box 627">
            <a:extLst>
              <a:ext uri="{FF2B5EF4-FFF2-40B4-BE49-F238E27FC236}">
                <a16:creationId xmlns:a16="http://schemas.microsoft.com/office/drawing/2014/main" id="{3B03DAEE-4F68-0734-ED01-CDCA04417805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4" y="2412"/>
            <a:ext cx="28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3323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6" name="Text Box 628">
            <a:extLst>
              <a:ext uri="{FF2B5EF4-FFF2-40B4-BE49-F238E27FC236}">
                <a16:creationId xmlns:a16="http://schemas.microsoft.com/office/drawing/2014/main" id="{1D4B6C43-0D3C-C3FB-9F06-75E3041ABE9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" y="2404"/>
            <a:ext cx="2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416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7" name="Rectangle 629">
            <a:extLst>
              <a:ext uri="{FF2B5EF4-FFF2-40B4-BE49-F238E27FC236}">
                <a16:creationId xmlns:a16="http://schemas.microsoft.com/office/drawing/2014/main" id="{087801E2-D721-2DF1-B3E9-721AB0171B8A}"/>
              </a:ext>
            </a:extLst>
          </xdr:cNvPr>
          <xdr:cNvSpPr>
            <a:spLocks noChangeArrowheads="1"/>
          </xdr:cNvSpPr>
        </xdr:nvSpPr>
        <xdr:spPr bwMode="auto">
          <a:xfrm>
            <a:off x="680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78" name="Rectangle 630">
            <a:extLst>
              <a:ext uri="{FF2B5EF4-FFF2-40B4-BE49-F238E27FC236}">
                <a16:creationId xmlns:a16="http://schemas.microsoft.com/office/drawing/2014/main" id="{C1874988-C66F-653A-C086-96D6BBAF2929}"/>
              </a:ext>
            </a:extLst>
          </xdr:cNvPr>
          <xdr:cNvSpPr>
            <a:spLocks noChangeArrowheads="1"/>
          </xdr:cNvSpPr>
        </xdr:nvSpPr>
        <xdr:spPr bwMode="auto">
          <a:xfrm>
            <a:off x="680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79" name="Rectangle 631">
            <a:extLst>
              <a:ext uri="{FF2B5EF4-FFF2-40B4-BE49-F238E27FC236}">
                <a16:creationId xmlns:a16="http://schemas.microsoft.com/office/drawing/2014/main" id="{2357F304-5B04-D133-6153-9DAFDF569DE0}"/>
              </a:ext>
            </a:extLst>
          </xdr:cNvPr>
          <xdr:cNvSpPr>
            <a:spLocks noChangeArrowheads="1"/>
          </xdr:cNvSpPr>
        </xdr:nvSpPr>
        <xdr:spPr bwMode="auto">
          <a:xfrm>
            <a:off x="317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80" name="Rectangle 632">
            <a:extLst>
              <a:ext uri="{FF2B5EF4-FFF2-40B4-BE49-F238E27FC236}">
                <a16:creationId xmlns:a16="http://schemas.microsoft.com/office/drawing/2014/main" id="{47E68F65-3E90-B3C4-5C87-EBA4208BB494}"/>
              </a:ext>
            </a:extLst>
          </xdr:cNvPr>
          <xdr:cNvSpPr>
            <a:spLocks noChangeArrowheads="1"/>
          </xdr:cNvSpPr>
        </xdr:nvSpPr>
        <xdr:spPr bwMode="auto">
          <a:xfrm>
            <a:off x="994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466725</xdr:colOff>
      <xdr:row>71</xdr:row>
      <xdr:rowOff>28575</xdr:rowOff>
    </xdr:from>
    <xdr:to>
      <xdr:col>3</xdr:col>
      <xdr:colOff>534563</xdr:colOff>
      <xdr:row>84</xdr:row>
      <xdr:rowOff>37517</xdr:rowOff>
    </xdr:to>
    <xdr:grpSp>
      <xdr:nvGrpSpPr>
        <xdr:cNvPr id="2769" name="Group 721">
          <a:extLst>
            <a:ext uri="{FF2B5EF4-FFF2-40B4-BE49-F238E27FC236}">
              <a16:creationId xmlns:a16="http://schemas.microsoft.com/office/drawing/2014/main" id="{23288D38-B883-DEBA-C50A-B0A974DF24A1}"/>
            </a:ext>
          </a:extLst>
        </xdr:cNvPr>
        <xdr:cNvGrpSpPr>
          <a:grpSpLocks/>
        </xdr:cNvGrpSpPr>
      </xdr:nvGrpSpPr>
      <xdr:grpSpPr bwMode="auto">
        <a:xfrm>
          <a:off x="1657350" y="11010900"/>
          <a:ext cx="1363238" cy="1971092"/>
          <a:chOff x="1680" y="1296"/>
          <a:chExt cx="1172" cy="1690"/>
        </a:xfrm>
      </xdr:grpSpPr>
      <xdr:sp macro="" textlink="">
        <xdr:nvSpPr>
          <xdr:cNvPr id="2770" name="Rectangle 722">
            <a:extLst>
              <a:ext uri="{FF2B5EF4-FFF2-40B4-BE49-F238E27FC236}">
                <a16:creationId xmlns:a16="http://schemas.microsoft.com/office/drawing/2014/main" id="{53E5D98E-ED2B-1255-1415-296F6C6CAFF7}"/>
              </a:ext>
            </a:extLst>
          </xdr:cNvPr>
          <xdr:cNvSpPr>
            <a:spLocks noChangeArrowheads="1"/>
          </xdr:cNvSpPr>
        </xdr:nvSpPr>
        <xdr:spPr bwMode="auto">
          <a:xfrm>
            <a:off x="1714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771" name="Line 723">
            <a:extLst>
              <a:ext uri="{FF2B5EF4-FFF2-40B4-BE49-F238E27FC236}">
                <a16:creationId xmlns:a16="http://schemas.microsoft.com/office/drawing/2014/main" id="{D83200B5-E9D3-AB41-7132-BCE56161E236}"/>
              </a:ext>
            </a:extLst>
          </xdr:cNvPr>
          <xdr:cNvSpPr>
            <a:spLocks noChangeShapeType="1"/>
          </xdr:cNvSpPr>
        </xdr:nvSpPr>
        <xdr:spPr bwMode="auto">
          <a:xfrm>
            <a:off x="2242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2" name="Line 724">
            <a:extLst>
              <a:ext uri="{FF2B5EF4-FFF2-40B4-BE49-F238E27FC236}">
                <a16:creationId xmlns:a16="http://schemas.microsoft.com/office/drawing/2014/main" id="{C761CB66-20F0-5AF7-24E9-5B45E4B0A83A}"/>
              </a:ext>
            </a:extLst>
          </xdr:cNvPr>
          <xdr:cNvSpPr>
            <a:spLocks noChangeShapeType="1"/>
          </xdr:cNvSpPr>
        </xdr:nvSpPr>
        <xdr:spPr bwMode="auto">
          <a:xfrm>
            <a:off x="1858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3" name="Text Box 725">
            <a:extLst>
              <a:ext uri="{FF2B5EF4-FFF2-40B4-BE49-F238E27FC236}">
                <a16:creationId xmlns:a16="http://schemas.microsoft.com/office/drawing/2014/main" id="{85BD1B8F-0D03-8EEB-54D2-D9B42943609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0" y="1492"/>
            <a:ext cx="238" cy="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4" name="Text Box 726">
            <a:extLst>
              <a:ext uri="{FF2B5EF4-FFF2-40B4-BE49-F238E27FC236}">
                <a16:creationId xmlns:a16="http://schemas.microsoft.com/office/drawing/2014/main" id="{87127BAD-4FCE-C17A-C8E8-85FBD69F9A0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" y="1492"/>
            <a:ext cx="312" cy="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5" name="Text Box 727">
            <a:extLst>
              <a:ext uri="{FF2B5EF4-FFF2-40B4-BE49-F238E27FC236}">
                <a16:creationId xmlns:a16="http://schemas.microsoft.com/office/drawing/2014/main" id="{A3D901B3-7688-9E5B-DB88-6CA4FA118E1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11" y="2733"/>
            <a:ext cx="74" cy="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6" name="AutoShape 728">
            <a:extLst>
              <a:ext uri="{FF2B5EF4-FFF2-40B4-BE49-F238E27FC236}">
                <a16:creationId xmlns:a16="http://schemas.microsoft.com/office/drawing/2014/main" id="{5C80E20B-8C6D-2B48-C635-EF8F7AB50023}"/>
              </a:ext>
            </a:extLst>
          </xdr:cNvPr>
          <xdr:cNvSpPr>
            <a:spLocks noChangeArrowheads="1"/>
          </xdr:cNvSpPr>
        </xdr:nvSpPr>
        <xdr:spPr bwMode="auto">
          <a:xfrm>
            <a:off x="2216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77" name="Line 729">
            <a:extLst>
              <a:ext uri="{FF2B5EF4-FFF2-40B4-BE49-F238E27FC236}">
                <a16:creationId xmlns:a16="http://schemas.microsoft.com/office/drawing/2014/main" id="{76FA1388-9728-38D1-4135-2DA4D0B1D302}"/>
              </a:ext>
            </a:extLst>
          </xdr:cNvPr>
          <xdr:cNvSpPr>
            <a:spLocks noChangeShapeType="1"/>
          </xdr:cNvSpPr>
        </xdr:nvSpPr>
        <xdr:spPr bwMode="auto">
          <a:xfrm>
            <a:off x="1906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8" name="Line 730">
            <a:extLst>
              <a:ext uri="{FF2B5EF4-FFF2-40B4-BE49-F238E27FC236}">
                <a16:creationId xmlns:a16="http://schemas.microsoft.com/office/drawing/2014/main" id="{932D4A0D-6628-BA2C-CC6F-C405CA72DF14}"/>
              </a:ext>
            </a:extLst>
          </xdr:cNvPr>
          <xdr:cNvSpPr>
            <a:spLocks noChangeShapeType="1"/>
          </xdr:cNvSpPr>
        </xdr:nvSpPr>
        <xdr:spPr bwMode="auto">
          <a:xfrm>
            <a:off x="2338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9" name="Line 731">
            <a:extLst>
              <a:ext uri="{FF2B5EF4-FFF2-40B4-BE49-F238E27FC236}">
                <a16:creationId xmlns:a16="http://schemas.microsoft.com/office/drawing/2014/main" id="{471BC3B1-05CC-E0A6-BFA6-C4549029EA6E}"/>
              </a:ext>
            </a:extLst>
          </xdr:cNvPr>
          <xdr:cNvSpPr>
            <a:spLocks noChangeShapeType="1"/>
          </xdr:cNvSpPr>
        </xdr:nvSpPr>
        <xdr:spPr bwMode="auto">
          <a:xfrm flipH="1">
            <a:off x="2338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732">
            <a:extLst>
              <a:ext uri="{FF2B5EF4-FFF2-40B4-BE49-F238E27FC236}">
                <a16:creationId xmlns:a16="http://schemas.microsoft.com/office/drawing/2014/main" id="{474D23A6-D929-4F4B-CE6C-E5D5B983C233}"/>
              </a:ext>
            </a:extLst>
          </xdr:cNvPr>
          <xdr:cNvSpPr>
            <a:spLocks noChangeShapeType="1"/>
          </xdr:cNvSpPr>
        </xdr:nvSpPr>
        <xdr:spPr bwMode="auto">
          <a:xfrm flipH="1">
            <a:off x="1858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1" name="Line 733">
            <a:extLst>
              <a:ext uri="{FF2B5EF4-FFF2-40B4-BE49-F238E27FC236}">
                <a16:creationId xmlns:a16="http://schemas.microsoft.com/office/drawing/2014/main" id="{BF7B8613-1A26-7E9A-7E1D-B5883553EEE2}"/>
              </a:ext>
            </a:extLst>
          </xdr:cNvPr>
          <xdr:cNvSpPr>
            <a:spLocks noChangeShapeType="1"/>
          </xdr:cNvSpPr>
        </xdr:nvSpPr>
        <xdr:spPr bwMode="auto">
          <a:xfrm flipV="1">
            <a:off x="2146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2" name="Line 734">
            <a:extLst>
              <a:ext uri="{FF2B5EF4-FFF2-40B4-BE49-F238E27FC236}">
                <a16:creationId xmlns:a16="http://schemas.microsoft.com/office/drawing/2014/main" id="{271D5EB5-A5A2-2325-DEE5-5C2959F53D64}"/>
              </a:ext>
            </a:extLst>
          </xdr:cNvPr>
          <xdr:cNvSpPr>
            <a:spLocks noChangeShapeType="1"/>
          </xdr:cNvSpPr>
        </xdr:nvSpPr>
        <xdr:spPr bwMode="auto">
          <a:xfrm flipV="1">
            <a:off x="233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3" name="Text Box 735">
            <a:extLst>
              <a:ext uri="{FF2B5EF4-FFF2-40B4-BE49-F238E27FC236}">
                <a16:creationId xmlns:a16="http://schemas.microsoft.com/office/drawing/2014/main" id="{6D26AEFB-E15A-B4AF-4A9C-3CBECE256E2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50" y="2015"/>
            <a:ext cx="230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4" name="Text Box 736">
            <a:extLst>
              <a:ext uri="{FF2B5EF4-FFF2-40B4-BE49-F238E27FC236}">
                <a16:creationId xmlns:a16="http://schemas.microsoft.com/office/drawing/2014/main" id="{1EF9C1F2-C441-D9BD-2026-E30BC362D20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4" y="2015"/>
            <a:ext cx="230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5" name="Text Box 737">
            <a:extLst>
              <a:ext uri="{FF2B5EF4-FFF2-40B4-BE49-F238E27FC236}">
                <a16:creationId xmlns:a16="http://schemas.microsoft.com/office/drawing/2014/main" id="{8543EBE7-6F70-AB61-4741-8EC8A7C826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9" y="1680"/>
            <a:ext cx="279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1620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6" name="Text Box 738">
            <a:extLst>
              <a:ext uri="{FF2B5EF4-FFF2-40B4-BE49-F238E27FC236}">
                <a16:creationId xmlns:a16="http://schemas.microsoft.com/office/drawing/2014/main" id="{B3671BAE-602E-9E25-602F-14165FE79F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4" y="1680"/>
            <a:ext cx="230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7" name="Text Box 739">
            <a:extLst>
              <a:ext uri="{FF2B5EF4-FFF2-40B4-BE49-F238E27FC236}">
                <a16:creationId xmlns:a16="http://schemas.microsoft.com/office/drawing/2014/main" id="{C892635C-1B15-CC01-3192-A6596D17A1A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9" y="1353"/>
            <a:ext cx="279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8" name="Text Box 740">
            <a:extLst>
              <a:ext uri="{FF2B5EF4-FFF2-40B4-BE49-F238E27FC236}">
                <a16:creationId xmlns:a16="http://schemas.microsoft.com/office/drawing/2014/main" id="{37DC1E91-144D-C500-7AA0-3A59228CEA9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35" y="1353"/>
            <a:ext cx="229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350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9" name="Line 741">
            <a:extLst>
              <a:ext uri="{FF2B5EF4-FFF2-40B4-BE49-F238E27FC236}">
                <a16:creationId xmlns:a16="http://schemas.microsoft.com/office/drawing/2014/main" id="{EC69BC1C-7961-D7A7-DECE-E683D95AB6FC}"/>
              </a:ext>
            </a:extLst>
          </xdr:cNvPr>
          <xdr:cNvSpPr>
            <a:spLocks noChangeShapeType="1"/>
          </xdr:cNvSpPr>
        </xdr:nvSpPr>
        <xdr:spPr bwMode="auto">
          <a:xfrm flipV="1">
            <a:off x="233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90" name="Text Box 742">
            <a:extLst>
              <a:ext uri="{FF2B5EF4-FFF2-40B4-BE49-F238E27FC236}">
                <a16:creationId xmlns:a16="http://schemas.microsoft.com/office/drawing/2014/main" id="{AF7763B7-A321-A0A6-BBD7-60583E54AF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86" y="2162"/>
            <a:ext cx="229" cy="27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1" name="Line 743">
            <a:extLst>
              <a:ext uri="{FF2B5EF4-FFF2-40B4-BE49-F238E27FC236}">
                <a16:creationId xmlns:a16="http://schemas.microsoft.com/office/drawing/2014/main" id="{8564D151-FE27-A8EC-B316-C63FE7897DF9}"/>
              </a:ext>
            </a:extLst>
          </xdr:cNvPr>
          <xdr:cNvSpPr>
            <a:spLocks noChangeShapeType="1"/>
          </xdr:cNvSpPr>
        </xdr:nvSpPr>
        <xdr:spPr bwMode="auto">
          <a:xfrm flipV="1">
            <a:off x="2146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92" name="Text Box 744">
            <a:extLst>
              <a:ext uri="{FF2B5EF4-FFF2-40B4-BE49-F238E27FC236}">
                <a16:creationId xmlns:a16="http://schemas.microsoft.com/office/drawing/2014/main" id="{766C11F5-BD75-C5E4-D074-D9BDCF0F1B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35" y="2407"/>
            <a:ext cx="279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3498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3" name="Text Box 745">
            <a:extLst>
              <a:ext uri="{FF2B5EF4-FFF2-40B4-BE49-F238E27FC236}">
                <a16:creationId xmlns:a16="http://schemas.microsoft.com/office/drawing/2014/main" id="{E80139C4-E3E4-EFC8-D4AB-2BDA0E7FA13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9" y="2399"/>
            <a:ext cx="131" cy="3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4" name="Rectangle 746">
            <a:extLst>
              <a:ext uri="{FF2B5EF4-FFF2-40B4-BE49-F238E27FC236}">
                <a16:creationId xmlns:a16="http://schemas.microsoft.com/office/drawing/2014/main" id="{907E55A2-B734-CFDE-D6C1-0198E1337015}"/>
              </a:ext>
            </a:extLst>
          </xdr:cNvPr>
          <xdr:cNvSpPr>
            <a:spLocks noChangeArrowheads="1"/>
          </xdr:cNvSpPr>
        </xdr:nvSpPr>
        <xdr:spPr bwMode="auto">
          <a:xfrm>
            <a:off x="2216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5" name="Rectangle 747">
            <a:extLst>
              <a:ext uri="{FF2B5EF4-FFF2-40B4-BE49-F238E27FC236}">
                <a16:creationId xmlns:a16="http://schemas.microsoft.com/office/drawing/2014/main" id="{FFDDA908-4BF1-FBF3-8F41-7C30692E20CD}"/>
              </a:ext>
            </a:extLst>
          </xdr:cNvPr>
          <xdr:cNvSpPr>
            <a:spLocks noChangeArrowheads="1"/>
          </xdr:cNvSpPr>
        </xdr:nvSpPr>
        <xdr:spPr bwMode="auto">
          <a:xfrm>
            <a:off x="2216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6" name="Rectangle 748">
            <a:extLst>
              <a:ext uri="{FF2B5EF4-FFF2-40B4-BE49-F238E27FC236}">
                <a16:creationId xmlns:a16="http://schemas.microsoft.com/office/drawing/2014/main" id="{A03EB79C-1025-0B86-727D-E08B8CF1AA63}"/>
              </a:ext>
            </a:extLst>
          </xdr:cNvPr>
          <xdr:cNvSpPr>
            <a:spLocks noChangeArrowheads="1"/>
          </xdr:cNvSpPr>
        </xdr:nvSpPr>
        <xdr:spPr bwMode="auto">
          <a:xfrm>
            <a:off x="1853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7" name="Rectangle 749">
            <a:extLst>
              <a:ext uri="{FF2B5EF4-FFF2-40B4-BE49-F238E27FC236}">
                <a16:creationId xmlns:a16="http://schemas.microsoft.com/office/drawing/2014/main" id="{28768956-E900-2104-1792-8E8B869DE5CC}"/>
              </a:ext>
            </a:extLst>
          </xdr:cNvPr>
          <xdr:cNvSpPr>
            <a:spLocks noChangeArrowheads="1"/>
          </xdr:cNvSpPr>
        </xdr:nvSpPr>
        <xdr:spPr bwMode="auto">
          <a:xfrm>
            <a:off x="2530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200025</xdr:colOff>
      <xdr:row>85</xdr:row>
      <xdr:rowOff>47625</xdr:rowOff>
    </xdr:from>
    <xdr:to>
      <xdr:col>1</xdr:col>
      <xdr:colOff>372638</xdr:colOff>
      <xdr:row>97</xdr:row>
      <xdr:rowOff>66231</xdr:rowOff>
    </xdr:to>
    <xdr:grpSp>
      <xdr:nvGrpSpPr>
        <xdr:cNvPr id="2798" name="Group 750">
          <a:extLst>
            <a:ext uri="{FF2B5EF4-FFF2-40B4-BE49-F238E27FC236}">
              <a16:creationId xmlns:a16="http://schemas.microsoft.com/office/drawing/2014/main" id="{68569A5D-3C4B-2B9B-C8DF-ED9896496059}"/>
            </a:ext>
          </a:extLst>
        </xdr:cNvPr>
        <xdr:cNvGrpSpPr>
          <a:grpSpLocks/>
        </xdr:cNvGrpSpPr>
      </xdr:nvGrpSpPr>
      <xdr:grpSpPr bwMode="auto">
        <a:xfrm>
          <a:off x="200025" y="13154025"/>
          <a:ext cx="1363238" cy="1961706"/>
          <a:chOff x="3120" y="1296"/>
          <a:chExt cx="1172" cy="1690"/>
        </a:xfrm>
      </xdr:grpSpPr>
      <xdr:sp macro="" textlink="">
        <xdr:nvSpPr>
          <xdr:cNvPr id="2799" name="Rectangle 751">
            <a:extLst>
              <a:ext uri="{FF2B5EF4-FFF2-40B4-BE49-F238E27FC236}">
                <a16:creationId xmlns:a16="http://schemas.microsoft.com/office/drawing/2014/main" id="{D2A34658-DD64-011C-D8F2-FBB7D773FED8}"/>
              </a:ext>
            </a:extLst>
          </xdr:cNvPr>
          <xdr:cNvSpPr>
            <a:spLocks noChangeArrowheads="1"/>
          </xdr:cNvSpPr>
        </xdr:nvSpPr>
        <xdr:spPr bwMode="auto">
          <a:xfrm>
            <a:off x="3154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800" name="Line 752">
            <a:extLst>
              <a:ext uri="{FF2B5EF4-FFF2-40B4-BE49-F238E27FC236}">
                <a16:creationId xmlns:a16="http://schemas.microsoft.com/office/drawing/2014/main" id="{283766AC-DA6D-871A-6015-A6914AFBC165}"/>
              </a:ext>
            </a:extLst>
          </xdr:cNvPr>
          <xdr:cNvSpPr>
            <a:spLocks noChangeShapeType="1"/>
          </xdr:cNvSpPr>
        </xdr:nvSpPr>
        <xdr:spPr bwMode="auto">
          <a:xfrm>
            <a:off x="3682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1" name="Line 753">
            <a:extLst>
              <a:ext uri="{FF2B5EF4-FFF2-40B4-BE49-F238E27FC236}">
                <a16:creationId xmlns:a16="http://schemas.microsoft.com/office/drawing/2014/main" id="{04D12262-1EA4-ACED-6D29-39F2DFBD68B9}"/>
              </a:ext>
            </a:extLst>
          </xdr:cNvPr>
          <xdr:cNvSpPr>
            <a:spLocks noChangeShapeType="1"/>
          </xdr:cNvSpPr>
        </xdr:nvSpPr>
        <xdr:spPr bwMode="auto">
          <a:xfrm>
            <a:off x="3298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2" name="Text Box 754">
            <a:extLst>
              <a:ext uri="{FF2B5EF4-FFF2-40B4-BE49-F238E27FC236}">
                <a16:creationId xmlns:a16="http://schemas.microsoft.com/office/drawing/2014/main" id="{6247DD00-E34A-F532-AFEE-4281D199AD6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20" y="1493"/>
            <a:ext cx="238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3" name="Text Box 755">
            <a:extLst>
              <a:ext uri="{FF2B5EF4-FFF2-40B4-BE49-F238E27FC236}">
                <a16:creationId xmlns:a16="http://schemas.microsoft.com/office/drawing/2014/main" id="{387718D6-2891-787B-34CD-2F50F342D6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980" y="1485"/>
            <a:ext cx="312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4" name="Text Box 756">
            <a:extLst>
              <a:ext uri="{FF2B5EF4-FFF2-40B4-BE49-F238E27FC236}">
                <a16:creationId xmlns:a16="http://schemas.microsoft.com/office/drawing/2014/main" id="{BEBC15D5-9661-E767-57D2-25B6E37CAB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51" y="2732"/>
            <a:ext cx="74" cy="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5" name="AutoShape 757">
            <a:extLst>
              <a:ext uri="{FF2B5EF4-FFF2-40B4-BE49-F238E27FC236}">
                <a16:creationId xmlns:a16="http://schemas.microsoft.com/office/drawing/2014/main" id="{516AD67D-DECB-83E0-F5FB-CF4F2F1824E8}"/>
              </a:ext>
            </a:extLst>
          </xdr:cNvPr>
          <xdr:cNvSpPr>
            <a:spLocks noChangeArrowheads="1"/>
          </xdr:cNvSpPr>
        </xdr:nvSpPr>
        <xdr:spPr bwMode="auto">
          <a:xfrm>
            <a:off x="3656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06" name="Line 758">
            <a:extLst>
              <a:ext uri="{FF2B5EF4-FFF2-40B4-BE49-F238E27FC236}">
                <a16:creationId xmlns:a16="http://schemas.microsoft.com/office/drawing/2014/main" id="{345DD7A6-D14E-364F-C45B-DF4F0342EDD7}"/>
              </a:ext>
            </a:extLst>
          </xdr:cNvPr>
          <xdr:cNvSpPr>
            <a:spLocks noChangeShapeType="1"/>
          </xdr:cNvSpPr>
        </xdr:nvSpPr>
        <xdr:spPr bwMode="auto">
          <a:xfrm>
            <a:off x="3346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7" name="Line 759">
            <a:extLst>
              <a:ext uri="{FF2B5EF4-FFF2-40B4-BE49-F238E27FC236}">
                <a16:creationId xmlns:a16="http://schemas.microsoft.com/office/drawing/2014/main" id="{5C03485F-5231-A2DC-4CBD-A736150D48C5}"/>
              </a:ext>
            </a:extLst>
          </xdr:cNvPr>
          <xdr:cNvSpPr>
            <a:spLocks noChangeShapeType="1"/>
          </xdr:cNvSpPr>
        </xdr:nvSpPr>
        <xdr:spPr bwMode="auto">
          <a:xfrm>
            <a:off x="3778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8" name="Line 760">
            <a:extLst>
              <a:ext uri="{FF2B5EF4-FFF2-40B4-BE49-F238E27FC236}">
                <a16:creationId xmlns:a16="http://schemas.microsoft.com/office/drawing/2014/main" id="{F517C85F-2711-3EFE-4A9B-0A5EE9D0DDB6}"/>
              </a:ext>
            </a:extLst>
          </xdr:cNvPr>
          <xdr:cNvSpPr>
            <a:spLocks noChangeShapeType="1"/>
          </xdr:cNvSpPr>
        </xdr:nvSpPr>
        <xdr:spPr bwMode="auto">
          <a:xfrm flipH="1">
            <a:off x="3778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9" name="Line 761">
            <a:extLst>
              <a:ext uri="{FF2B5EF4-FFF2-40B4-BE49-F238E27FC236}">
                <a16:creationId xmlns:a16="http://schemas.microsoft.com/office/drawing/2014/main" id="{E8259052-432B-0569-E25B-FDD81F514A37}"/>
              </a:ext>
            </a:extLst>
          </xdr:cNvPr>
          <xdr:cNvSpPr>
            <a:spLocks noChangeShapeType="1"/>
          </xdr:cNvSpPr>
        </xdr:nvSpPr>
        <xdr:spPr bwMode="auto">
          <a:xfrm flipH="1">
            <a:off x="3298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0" name="Line 762">
            <a:extLst>
              <a:ext uri="{FF2B5EF4-FFF2-40B4-BE49-F238E27FC236}">
                <a16:creationId xmlns:a16="http://schemas.microsoft.com/office/drawing/2014/main" id="{5587E902-428D-13E7-EB39-2251F283E0ED}"/>
              </a:ext>
            </a:extLst>
          </xdr:cNvPr>
          <xdr:cNvSpPr>
            <a:spLocks noChangeShapeType="1"/>
          </xdr:cNvSpPr>
        </xdr:nvSpPr>
        <xdr:spPr bwMode="auto">
          <a:xfrm flipV="1">
            <a:off x="3586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1" name="Line 763">
            <a:extLst>
              <a:ext uri="{FF2B5EF4-FFF2-40B4-BE49-F238E27FC236}">
                <a16:creationId xmlns:a16="http://schemas.microsoft.com/office/drawing/2014/main" id="{7ECBA966-47DD-CC7D-82C7-244CED2C3184}"/>
              </a:ext>
            </a:extLst>
          </xdr:cNvPr>
          <xdr:cNvSpPr>
            <a:spLocks noChangeShapeType="1"/>
          </xdr:cNvSpPr>
        </xdr:nvSpPr>
        <xdr:spPr bwMode="auto">
          <a:xfrm flipV="1">
            <a:off x="377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2" name="Text Box 764">
            <a:extLst>
              <a:ext uri="{FF2B5EF4-FFF2-40B4-BE49-F238E27FC236}">
                <a16:creationId xmlns:a16="http://schemas.microsoft.com/office/drawing/2014/main" id="{61FFC5BA-D782-62B6-B296-EFAADC259FC1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90" y="2018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3" name="Text Box 765">
            <a:extLst>
              <a:ext uri="{FF2B5EF4-FFF2-40B4-BE49-F238E27FC236}">
                <a16:creationId xmlns:a16="http://schemas.microsoft.com/office/drawing/2014/main" id="{8A0B5504-7134-4627-745A-6CF05368F7B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824" y="2018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4" name="Text Box 766">
            <a:extLst>
              <a:ext uri="{FF2B5EF4-FFF2-40B4-BE49-F238E27FC236}">
                <a16:creationId xmlns:a16="http://schemas.microsoft.com/office/drawing/2014/main" id="{CF69B23A-BDE8-2DA6-B407-6E86ED35AF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49" y="168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1408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5" name="Text Box 767">
            <a:extLst>
              <a:ext uri="{FF2B5EF4-FFF2-40B4-BE49-F238E27FC236}">
                <a16:creationId xmlns:a16="http://schemas.microsoft.com/office/drawing/2014/main" id="{1119BF4B-136C-AA48-36CC-399332BDBF9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824" y="1682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6" name="Text Box 768">
            <a:extLst>
              <a:ext uri="{FF2B5EF4-FFF2-40B4-BE49-F238E27FC236}">
                <a16:creationId xmlns:a16="http://schemas.microsoft.com/office/drawing/2014/main" id="{40A25ADE-BC75-76D1-E9A6-326EB9EB9B9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49" y="1353"/>
            <a:ext cx="27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7" name="Text Box 769">
            <a:extLst>
              <a:ext uri="{FF2B5EF4-FFF2-40B4-BE49-F238E27FC236}">
                <a16:creationId xmlns:a16="http://schemas.microsoft.com/office/drawing/2014/main" id="{2383A03F-AB11-85C0-C39A-6790467D50F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75" y="1353"/>
            <a:ext cx="22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540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8" name="Line 770">
            <a:extLst>
              <a:ext uri="{FF2B5EF4-FFF2-40B4-BE49-F238E27FC236}">
                <a16:creationId xmlns:a16="http://schemas.microsoft.com/office/drawing/2014/main" id="{40C00B81-88A3-77BA-03BB-F0AE90246DC1}"/>
              </a:ext>
            </a:extLst>
          </xdr:cNvPr>
          <xdr:cNvSpPr>
            <a:spLocks noChangeShapeType="1"/>
          </xdr:cNvSpPr>
        </xdr:nvSpPr>
        <xdr:spPr bwMode="auto">
          <a:xfrm flipV="1">
            <a:off x="377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9" name="Text Box 771">
            <a:extLst>
              <a:ext uri="{FF2B5EF4-FFF2-40B4-BE49-F238E27FC236}">
                <a16:creationId xmlns:a16="http://schemas.microsoft.com/office/drawing/2014/main" id="{8FCCBF67-092E-62F5-7D83-6A31736149B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26" y="2158"/>
            <a:ext cx="229" cy="2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0" name="Line 772">
            <a:extLst>
              <a:ext uri="{FF2B5EF4-FFF2-40B4-BE49-F238E27FC236}">
                <a16:creationId xmlns:a16="http://schemas.microsoft.com/office/drawing/2014/main" id="{8FBCE0DF-534E-4732-EE6A-09A11D48AB8A}"/>
              </a:ext>
            </a:extLst>
          </xdr:cNvPr>
          <xdr:cNvSpPr>
            <a:spLocks noChangeShapeType="1"/>
          </xdr:cNvSpPr>
        </xdr:nvSpPr>
        <xdr:spPr bwMode="auto">
          <a:xfrm flipV="1">
            <a:off x="3586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21" name="Text Box 773">
            <a:extLst>
              <a:ext uri="{FF2B5EF4-FFF2-40B4-BE49-F238E27FC236}">
                <a16:creationId xmlns:a16="http://schemas.microsoft.com/office/drawing/2014/main" id="{A0592FF2-886B-5194-D3EC-31489C68E2C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75" y="241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3448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2" name="Text Box 774">
            <a:extLst>
              <a:ext uri="{FF2B5EF4-FFF2-40B4-BE49-F238E27FC236}">
                <a16:creationId xmlns:a16="http://schemas.microsoft.com/office/drawing/2014/main" id="{401D54B2-6451-9D2B-79D5-E93AE34C6B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49" y="2404"/>
            <a:ext cx="131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3" name="Rectangle 775">
            <a:extLst>
              <a:ext uri="{FF2B5EF4-FFF2-40B4-BE49-F238E27FC236}">
                <a16:creationId xmlns:a16="http://schemas.microsoft.com/office/drawing/2014/main" id="{991BF069-FCBB-15D3-0006-C90A62186A59}"/>
              </a:ext>
            </a:extLst>
          </xdr:cNvPr>
          <xdr:cNvSpPr>
            <a:spLocks noChangeArrowheads="1"/>
          </xdr:cNvSpPr>
        </xdr:nvSpPr>
        <xdr:spPr bwMode="auto">
          <a:xfrm>
            <a:off x="3656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4" name="Rectangle 776">
            <a:extLst>
              <a:ext uri="{FF2B5EF4-FFF2-40B4-BE49-F238E27FC236}">
                <a16:creationId xmlns:a16="http://schemas.microsoft.com/office/drawing/2014/main" id="{475E0321-EB83-FD42-8DE3-63535AB9B50A}"/>
              </a:ext>
            </a:extLst>
          </xdr:cNvPr>
          <xdr:cNvSpPr>
            <a:spLocks noChangeArrowheads="1"/>
          </xdr:cNvSpPr>
        </xdr:nvSpPr>
        <xdr:spPr bwMode="auto">
          <a:xfrm>
            <a:off x="3656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5" name="Rectangle 777">
            <a:extLst>
              <a:ext uri="{FF2B5EF4-FFF2-40B4-BE49-F238E27FC236}">
                <a16:creationId xmlns:a16="http://schemas.microsoft.com/office/drawing/2014/main" id="{93C5D40C-564B-4B7E-E80D-0C114049A0AB}"/>
              </a:ext>
            </a:extLst>
          </xdr:cNvPr>
          <xdr:cNvSpPr>
            <a:spLocks noChangeArrowheads="1"/>
          </xdr:cNvSpPr>
        </xdr:nvSpPr>
        <xdr:spPr bwMode="auto">
          <a:xfrm>
            <a:off x="3293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6" name="Rectangle 778">
            <a:extLst>
              <a:ext uri="{FF2B5EF4-FFF2-40B4-BE49-F238E27FC236}">
                <a16:creationId xmlns:a16="http://schemas.microsoft.com/office/drawing/2014/main" id="{47CA44C8-4970-7DCE-FE4E-2BE9B4FBD9A7}"/>
              </a:ext>
            </a:extLst>
          </xdr:cNvPr>
          <xdr:cNvSpPr>
            <a:spLocks noChangeArrowheads="1"/>
          </xdr:cNvSpPr>
        </xdr:nvSpPr>
        <xdr:spPr bwMode="auto">
          <a:xfrm>
            <a:off x="3970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466724</xdr:colOff>
      <xdr:row>85</xdr:row>
      <xdr:rowOff>47625</xdr:rowOff>
    </xdr:from>
    <xdr:to>
      <xdr:col>3</xdr:col>
      <xdr:colOff>534562</xdr:colOff>
      <xdr:row>97</xdr:row>
      <xdr:rowOff>66231</xdr:rowOff>
    </xdr:to>
    <xdr:grpSp>
      <xdr:nvGrpSpPr>
        <xdr:cNvPr id="2827" name="Group 779">
          <a:extLst>
            <a:ext uri="{FF2B5EF4-FFF2-40B4-BE49-F238E27FC236}">
              <a16:creationId xmlns:a16="http://schemas.microsoft.com/office/drawing/2014/main" id="{DB4E63EF-9EC4-084F-5646-02B3E7CA22A1}"/>
            </a:ext>
          </a:extLst>
        </xdr:cNvPr>
        <xdr:cNvGrpSpPr>
          <a:grpSpLocks/>
        </xdr:cNvGrpSpPr>
      </xdr:nvGrpSpPr>
      <xdr:grpSpPr bwMode="auto">
        <a:xfrm>
          <a:off x="1657349" y="13154025"/>
          <a:ext cx="1363238" cy="1961706"/>
          <a:chOff x="4512" y="1296"/>
          <a:chExt cx="1172" cy="1690"/>
        </a:xfrm>
      </xdr:grpSpPr>
      <xdr:sp macro="" textlink="">
        <xdr:nvSpPr>
          <xdr:cNvPr id="2828" name="Rectangle 780">
            <a:extLst>
              <a:ext uri="{FF2B5EF4-FFF2-40B4-BE49-F238E27FC236}">
                <a16:creationId xmlns:a16="http://schemas.microsoft.com/office/drawing/2014/main" id="{FB4BEA23-2B9B-38E5-C653-3A661F77D8F6}"/>
              </a:ext>
            </a:extLst>
          </xdr:cNvPr>
          <xdr:cNvSpPr>
            <a:spLocks noChangeArrowheads="1"/>
          </xdr:cNvSpPr>
        </xdr:nvSpPr>
        <xdr:spPr bwMode="auto">
          <a:xfrm>
            <a:off x="4546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829" name="Line 781">
            <a:extLst>
              <a:ext uri="{FF2B5EF4-FFF2-40B4-BE49-F238E27FC236}">
                <a16:creationId xmlns:a16="http://schemas.microsoft.com/office/drawing/2014/main" id="{8D9AB5CE-0922-2074-D46E-DDBCB7D55044}"/>
              </a:ext>
            </a:extLst>
          </xdr:cNvPr>
          <xdr:cNvSpPr>
            <a:spLocks noChangeShapeType="1"/>
          </xdr:cNvSpPr>
        </xdr:nvSpPr>
        <xdr:spPr bwMode="auto">
          <a:xfrm>
            <a:off x="5074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0" name="Line 782">
            <a:extLst>
              <a:ext uri="{FF2B5EF4-FFF2-40B4-BE49-F238E27FC236}">
                <a16:creationId xmlns:a16="http://schemas.microsoft.com/office/drawing/2014/main" id="{B6738E46-2548-757E-63EB-992ACF4813C4}"/>
              </a:ext>
            </a:extLst>
          </xdr:cNvPr>
          <xdr:cNvSpPr>
            <a:spLocks noChangeShapeType="1"/>
          </xdr:cNvSpPr>
        </xdr:nvSpPr>
        <xdr:spPr bwMode="auto">
          <a:xfrm>
            <a:off x="4690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1" name="Text Box 783">
            <a:extLst>
              <a:ext uri="{FF2B5EF4-FFF2-40B4-BE49-F238E27FC236}">
                <a16:creationId xmlns:a16="http://schemas.microsoft.com/office/drawing/2014/main" id="{7405198B-C85F-5682-300E-AAD013F9CF9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12" y="1493"/>
            <a:ext cx="238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2" name="Text Box 784">
            <a:extLst>
              <a:ext uri="{FF2B5EF4-FFF2-40B4-BE49-F238E27FC236}">
                <a16:creationId xmlns:a16="http://schemas.microsoft.com/office/drawing/2014/main" id="{22C14F30-0F93-5408-7113-51C8263696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72" y="1485"/>
            <a:ext cx="312" cy="3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3" name="Text Box 785">
            <a:extLst>
              <a:ext uri="{FF2B5EF4-FFF2-40B4-BE49-F238E27FC236}">
                <a16:creationId xmlns:a16="http://schemas.microsoft.com/office/drawing/2014/main" id="{6D3A25BA-6305-19BD-7275-B5D62129ED7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43" y="2732"/>
            <a:ext cx="74" cy="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4" name="AutoShape 786">
            <a:extLst>
              <a:ext uri="{FF2B5EF4-FFF2-40B4-BE49-F238E27FC236}">
                <a16:creationId xmlns:a16="http://schemas.microsoft.com/office/drawing/2014/main" id="{F9BAECD3-CE1E-9AEA-CDA7-F362AD115CB9}"/>
              </a:ext>
            </a:extLst>
          </xdr:cNvPr>
          <xdr:cNvSpPr>
            <a:spLocks noChangeArrowheads="1"/>
          </xdr:cNvSpPr>
        </xdr:nvSpPr>
        <xdr:spPr bwMode="auto">
          <a:xfrm>
            <a:off x="5048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35" name="Line 787">
            <a:extLst>
              <a:ext uri="{FF2B5EF4-FFF2-40B4-BE49-F238E27FC236}">
                <a16:creationId xmlns:a16="http://schemas.microsoft.com/office/drawing/2014/main" id="{AC5EAA12-0F5A-989B-88A8-835FBE10F3ED}"/>
              </a:ext>
            </a:extLst>
          </xdr:cNvPr>
          <xdr:cNvSpPr>
            <a:spLocks noChangeShapeType="1"/>
          </xdr:cNvSpPr>
        </xdr:nvSpPr>
        <xdr:spPr bwMode="auto">
          <a:xfrm>
            <a:off x="4738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6" name="Line 788">
            <a:extLst>
              <a:ext uri="{FF2B5EF4-FFF2-40B4-BE49-F238E27FC236}">
                <a16:creationId xmlns:a16="http://schemas.microsoft.com/office/drawing/2014/main" id="{EEF3B050-862C-FFB4-EA56-531CFD61E3E7}"/>
              </a:ext>
            </a:extLst>
          </xdr:cNvPr>
          <xdr:cNvSpPr>
            <a:spLocks noChangeShapeType="1"/>
          </xdr:cNvSpPr>
        </xdr:nvSpPr>
        <xdr:spPr bwMode="auto">
          <a:xfrm>
            <a:off x="5170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7" name="Line 789">
            <a:extLst>
              <a:ext uri="{FF2B5EF4-FFF2-40B4-BE49-F238E27FC236}">
                <a16:creationId xmlns:a16="http://schemas.microsoft.com/office/drawing/2014/main" id="{C182C0D1-D343-1C10-320F-0A3503FE30B4}"/>
              </a:ext>
            </a:extLst>
          </xdr:cNvPr>
          <xdr:cNvSpPr>
            <a:spLocks noChangeShapeType="1"/>
          </xdr:cNvSpPr>
        </xdr:nvSpPr>
        <xdr:spPr bwMode="auto">
          <a:xfrm flipH="1">
            <a:off x="5170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8" name="Line 790">
            <a:extLst>
              <a:ext uri="{FF2B5EF4-FFF2-40B4-BE49-F238E27FC236}">
                <a16:creationId xmlns:a16="http://schemas.microsoft.com/office/drawing/2014/main" id="{9174121E-F59A-7340-BC32-1824EBD4D5FD}"/>
              </a:ext>
            </a:extLst>
          </xdr:cNvPr>
          <xdr:cNvSpPr>
            <a:spLocks noChangeShapeType="1"/>
          </xdr:cNvSpPr>
        </xdr:nvSpPr>
        <xdr:spPr bwMode="auto">
          <a:xfrm flipH="1">
            <a:off x="4690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9" name="Line 791">
            <a:extLst>
              <a:ext uri="{FF2B5EF4-FFF2-40B4-BE49-F238E27FC236}">
                <a16:creationId xmlns:a16="http://schemas.microsoft.com/office/drawing/2014/main" id="{E13E70D4-C3E0-4C40-CDEA-B3D10C192B5E}"/>
              </a:ext>
            </a:extLst>
          </xdr:cNvPr>
          <xdr:cNvSpPr>
            <a:spLocks noChangeShapeType="1"/>
          </xdr:cNvSpPr>
        </xdr:nvSpPr>
        <xdr:spPr bwMode="auto">
          <a:xfrm flipV="1">
            <a:off x="497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792">
            <a:extLst>
              <a:ext uri="{FF2B5EF4-FFF2-40B4-BE49-F238E27FC236}">
                <a16:creationId xmlns:a16="http://schemas.microsoft.com/office/drawing/2014/main" id="{132AF7F3-F0C9-12C5-25E9-1DB3310FCB42}"/>
              </a:ext>
            </a:extLst>
          </xdr:cNvPr>
          <xdr:cNvSpPr>
            <a:spLocks noChangeShapeType="1"/>
          </xdr:cNvSpPr>
        </xdr:nvSpPr>
        <xdr:spPr bwMode="auto">
          <a:xfrm flipV="1">
            <a:off x="5170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1" name="Text Box 793">
            <a:extLst>
              <a:ext uri="{FF2B5EF4-FFF2-40B4-BE49-F238E27FC236}">
                <a16:creationId xmlns:a16="http://schemas.microsoft.com/office/drawing/2014/main" id="{EA101609-8E45-3012-B83B-2F8264EFEA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9" y="2018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2" name="Text Box 794">
            <a:extLst>
              <a:ext uri="{FF2B5EF4-FFF2-40B4-BE49-F238E27FC236}">
                <a16:creationId xmlns:a16="http://schemas.microsoft.com/office/drawing/2014/main" id="{CC2BFA63-EF07-ABB8-F916-158DA48BEC2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16" y="2018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3" name="Text Box 795">
            <a:extLst>
              <a:ext uri="{FF2B5EF4-FFF2-40B4-BE49-F238E27FC236}">
                <a16:creationId xmlns:a16="http://schemas.microsoft.com/office/drawing/2014/main" id="{F93F4332-E403-3F04-5FBE-854992F44FA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1" y="168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1074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4" name="Text Box 796">
            <a:extLst>
              <a:ext uri="{FF2B5EF4-FFF2-40B4-BE49-F238E27FC236}">
                <a16:creationId xmlns:a16="http://schemas.microsoft.com/office/drawing/2014/main" id="{D849DF30-4113-9FFD-1B34-AF66F49C9041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16" y="1682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802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5" name="Text Box 797">
            <a:extLst>
              <a:ext uri="{FF2B5EF4-FFF2-40B4-BE49-F238E27FC236}">
                <a16:creationId xmlns:a16="http://schemas.microsoft.com/office/drawing/2014/main" id="{5B88FA2B-319F-579B-12B6-075154403C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1" y="1353"/>
            <a:ext cx="27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6" name="Text Box 798">
            <a:extLst>
              <a:ext uri="{FF2B5EF4-FFF2-40B4-BE49-F238E27FC236}">
                <a16:creationId xmlns:a16="http://schemas.microsoft.com/office/drawing/2014/main" id="{2E1427AD-996A-66AA-19EC-FB35C99E02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67" y="1353"/>
            <a:ext cx="229" cy="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560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7" name="Line 799">
            <a:extLst>
              <a:ext uri="{FF2B5EF4-FFF2-40B4-BE49-F238E27FC236}">
                <a16:creationId xmlns:a16="http://schemas.microsoft.com/office/drawing/2014/main" id="{43236F7F-39F6-2882-095B-1EAEFB2BA06F}"/>
              </a:ext>
            </a:extLst>
          </xdr:cNvPr>
          <xdr:cNvSpPr>
            <a:spLocks noChangeShapeType="1"/>
          </xdr:cNvSpPr>
        </xdr:nvSpPr>
        <xdr:spPr bwMode="auto">
          <a:xfrm flipV="1">
            <a:off x="5170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8" name="Text Box 800">
            <a:extLst>
              <a:ext uri="{FF2B5EF4-FFF2-40B4-BE49-F238E27FC236}">
                <a16:creationId xmlns:a16="http://schemas.microsoft.com/office/drawing/2014/main" id="{0CF8C6D1-357A-B133-9FAD-8FC7DC6F1892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18" y="2158"/>
            <a:ext cx="229" cy="2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9" name="Line 801">
            <a:extLst>
              <a:ext uri="{FF2B5EF4-FFF2-40B4-BE49-F238E27FC236}">
                <a16:creationId xmlns:a16="http://schemas.microsoft.com/office/drawing/2014/main" id="{84276CE1-0DCB-9414-CC6B-F878B86B60B3}"/>
              </a:ext>
            </a:extLst>
          </xdr:cNvPr>
          <xdr:cNvSpPr>
            <a:spLocks noChangeShapeType="1"/>
          </xdr:cNvSpPr>
        </xdr:nvSpPr>
        <xdr:spPr bwMode="auto">
          <a:xfrm flipV="1">
            <a:off x="497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50" name="Text Box 802">
            <a:extLst>
              <a:ext uri="{FF2B5EF4-FFF2-40B4-BE49-F238E27FC236}">
                <a16:creationId xmlns:a16="http://schemas.microsoft.com/office/drawing/2014/main" id="{0A61382D-6B0F-2986-A5CE-DD151A086A0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67" y="2412"/>
            <a:ext cx="279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3093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51" name="Text Box 803">
            <a:extLst>
              <a:ext uri="{FF2B5EF4-FFF2-40B4-BE49-F238E27FC236}">
                <a16:creationId xmlns:a16="http://schemas.microsoft.com/office/drawing/2014/main" id="{5B225120-D574-6E56-5C19-2DF3A7907B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1" y="2404"/>
            <a:ext cx="230" cy="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102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52" name="Rectangle 804">
            <a:extLst>
              <a:ext uri="{FF2B5EF4-FFF2-40B4-BE49-F238E27FC236}">
                <a16:creationId xmlns:a16="http://schemas.microsoft.com/office/drawing/2014/main" id="{B089EE7A-920B-A55E-6F02-53DC0812F822}"/>
              </a:ext>
            </a:extLst>
          </xdr:cNvPr>
          <xdr:cNvSpPr>
            <a:spLocks noChangeArrowheads="1"/>
          </xdr:cNvSpPr>
        </xdr:nvSpPr>
        <xdr:spPr bwMode="auto">
          <a:xfrm>
            <a:off x="5048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3" name="Rectangle 805">
            <a:extLst>
              <a:ext uri="{FF2B5EF4-FFF2-40B4-BE49-F238E27FC236}">
                <a16:creationId xmlns:a16="http://schemas.microsoft.com/office/drawing/2014/main" id="{4FBF9FAD-0940-9B1F-D4D5-CC3DF941B77A}"/>
              </a:ext>
            </a:extLst>
          </xdr:cNvPr>
          <xdr:cNvSpPr>
            <a:spLocks noChangeArrowheads="1"/>
          </xdr:cNvSpPr>
        </xdr:nvSpPr>
        <xdr:spPr bwMode="auto">
          <a:xfrm>
            <a:off x="5048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4" name="Rectangle 806">
            <a:extLst>
              <a:ext uri="{FF2B5EF4-FFF2-40B4-BE49-F238E27FC236}">
                <a16:creationId xmlns:a16="http://schemas.microsoft.com/office/drawing/2014/main" id="{9985BC8F-B966-D632-E4DE-FF9CCBC337C6}"/>
              </a:ext>
            </a:extLst>
          </xdr:cNvPr>
          <xdr:cNvSpPr>
            <a:spLocks noChangeArrowheads="1"/>
          </xdr:cNvSpPr>
        </xdr:nvSpPr>
        <xdr:spPr bwMode="auto">
          <a:xfrm>
            <a:off x="4685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5" name="Rectangle 807">
            <a:extLst>
              <a:ext uri="{FF2B5EF4-FFF2-40B4-BE49-F238E27FC236}">
                <a16:creationId xmlns:a16="http://schemas.microsoft.com/office/drawing/2014/main" id="{9B06EF90-7517-FD09-5C39-A8FF3FFECE96}"/>
              </a:ext>
            </a:extLst>
          </xdr:cNvPr>
          <xdr:cNvSpPr>
            <a:spLocks noChangeArrowheads="1"/>
          </xdr:cNvSpPr>
        </xdr:nvSpPr>
        <xdr:spPr bwMode="auto">
          <a:xfrm>
            <a:off x="5362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600075</xdr:colOff>
      <xdr:row>32</xdr:row>
      <xdr:rowOff>95250</xdr:rowOff>
    </xdr:to>
    <xdr:graphicFrame macro="">
      <xdr:nvGraphicFramePr>
        <xdr:cNvPr id="10251" name="Chart 11">
          <a:extLst>
            <a:ext uri="{FF2B5EF4-FFF2-40B4-BE49-F238E27FC236}">
              <a16:creationId xmlns:a16="http://schemas.microsoft.com/office/drawing/2014/main" id="{A741E941-845A-0252-165C-8FEEC03C4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12</xdr:col>
      <xdr:colOff>0</xdr:colOff>
      <xdr:row>69</xdr:row>
      <xdr:rowOff>0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1D053203-15B3-8806-1D42-6B6AE31F4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66675</xdr:rowOff>
    </xdr:from>
    <xdr:to>
      <xdr:col>25</xdr:col>
      <xdr:colOff>0</xdr:colOff>
      <xdr:row>32</xdr:row>
      <xdr:rowOff>133350</xdr:rowOff>
    </xdr:to>
    <xdr:graphicFrame macro="">
      <xdr:nvGraphicFramePr>
        <xdr:cNvPr id="10253" name="Chart 13">
          <a:extLst>
            <a:ext uri="{FF2B5EF4-FFF2-40B4-BE49-F238E27FC236}">
              <a16:creationId xmlns:a16="http://schemas.microsoft.com/office/drawing/2014/main" id="{C7ED069F-38B0-4A4B-891D-B9E06A1AD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37</xdr:row>
      <xdr:rowOff>9525</xdr:rowOff>
    </xdr:from>
    <xdr:to>
      <xdr:col>24</xdr:col>
      <xdr:colOff>447675</xdr:colOff>
      <xdr:row>69</xdr:row>
      <xdr:rowOff>9525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964A5DA6-20CD-D759-D252-FC1C2EBEF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447675</xdr:colOff>
      <xdr:row>74</xdr:row>
      <xdr:rowOff>19050</xdr:rowOff>
    </xdr:from>
    <xdr:to>
      <xdr:col>1</xdr:col>
      <xdr:colOff>561975</xdr:colOff>
      <xdr:row>74</xdr:row>
      <xdr:rowOff>133350</xdr:rowOff>
    </xdr:to>
    <xdr:sp macro="" textlink="">
      <xdr:nvSpPr>
        <xdr:cNvPr id="10257" name="Rectangle 17">
          <a:extLst>
            <a:ext uri="{FF2B5EF4-FFF2-40B4-BE49-F238E27FC236}">
              <a16:creationId xmlns:a16="http://schemas.microsoft.com/office/drawing/2014/main" id="{37481794-0502-A2AD-1985-BF52C2EC22D4}"/>
            </a:ext>
          </a:extLst>
        </xdr:cNvPr>
        <xdr:cNvSpPr>
          <a:spLocks noChangeArrowheads="1"/>
        </xdr:cNvSpPr>
      </xdr:nvSpPr>
      <xdr:spPr bwMode="auto">
        <a:xfrm>
          <a:off x="1057275" y="12001500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74</xdr:row>
      <xdr:rowOff>57150</xdr:rowOff>
    </xdr:from>
    <xdr:to>
      <xdr:col>6</xdr:col>
      <xdr:colOff>561975</xdr:colOff>
      <xdr:row>74</xdr:row>
      <xdr:rowOff>114300</xdr:rowOff>
    </xdr:to>
    <xdr:grpSp>
      <xdr:nvGrpSpPr>
        <xdr:cNvPr id="10264" name="Group 24">
          <a:extLst>
            <a:ext uri="{FF2B5EF4-FFF2-40B4-BE49-F238E27FC236}">
              <a16:creationId xmlns:a16="http://schemas.microsoft.com/office/drawing/2014/main" id="{4A8293F2-87B5-9CCF-2989-FF58CEEE2FE1}"/>
            </a:ext>
          </a:extLst>
        </xdr:cNvPr>
        <xdr:cNvGrpSpPr>
          <a:grpSpLocks/>
        </xdr:cNvGrpSpPr>
      </xdr:nvGrpSpPr>
      <xdr:grpSpPr bwMode="auto">
        <a:xfrm>
          <a:off x="3790950" y="12039600"/>
          <a:ext cx="428625" cy="57150"/>
          <a:chOff x="398" y="1145"/>
          <a:chExt cx="45" cy="6"/>
        </a:xfrm>
      </xdr:grpSpPr>
      <xdr:sp macro="" textlink="">
        <xdr:nvSpPr>
          <xdr:cNvPr id="10258" name="Line 18">
            <a:extLst>
              <a:ext uri="{FF2B5EF4-FFF2-40B4-BE49-F238E27FC236}">
                <a16:creationId xmlns:a16="http://schemas.microsoft.com/office/drawing/2014/main" id="{573B80EC-8145-52D9-F5D1-C5F5DC055525}"/>
              </a:ext>
            </a:extLst>
          </xdr:cNvPr>
          <xdr:cNvSpPr>
            <a:spLocks noChangeShapeType="1"/>
          </xdr:cNvSpPr>
        </xdr:nvSpPr>
        <xdr:spPr bwMode="auto">
          <a:xfrm>
            <a:off x="398" y="1148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9" name="Rectangle 19">
            <a:extLst>
              <a:ext uri="{FF2B5EF4-FFF2-40B4-BE49-F238E27FC236}">
                <a16:creationId xmlns:a16="http://schemas.microsoft.com/office/drawing/2014/main" id="{B88D27E9-8891-0003-B7BA-F3D02A1F89C8}"/>
              </a:ext>
            </a:extLst>
          </xdr:cNvPr>
          <xdr:cNvSpPr>
            <a:spLocks noChangeArrowheads="1"/>
          </xdr:cNvSpPr>
        </xdr:nvSpPr>
        <xdr:spPr bwMode="auto">
          <a:xfrm>
            <a:off x="417" y="1145"/>
            <a:ext cx="6" cy="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ln w="9525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13</xdr:col>
      <xdr:colOff>133350</xdr:colOff>
      <xdr:row>74</xdr:row>
      <xdr:rowOff>38100</xdr:rowOff>
    </xdr:from>
    <xdr:to>
      <xdr:col>13</xdr:col>
      <xdr:colOff>561975</xdr:colOff>
      <xdr:row>74</xdr:row>
      <xdr:rowOff>114300</xdr:rowOff>
    </xdr:to>
    <xdr:grpSp>
      <xdr:nvGrpSpPr>
        <xdr:cNvPr id="10263" name="Group 23">
          <a:extLst>
            <a:ext uri="{FF2B5EF4-FFF2-40B4-BE49-F238E27FC236}">
              <a16:creationId xmlns:a16="http://schemas.microsoft.com/office/drawing/2014/main" id="{6521910B-2AE6-5198-3A09-0A0D4A9EBEDB}"/>
            </a:ext>
          </a:extLst>
        </xdr:cNvPr>
        <xdr:cNvGrpSpPr>
          <a:grpSpLocks/>
        </xdr:cNvGrpSpPr>
      </xdr:nvGrpSpPr>
      <xdr:grpSpPr bwMode="auto">
        <a:xfrm>
          <a:off x="8058150" y="12020550"/>
          <a:ext cx="428625" cy="76200"/>
          <a:chOff x="846" y="1143"/>
          <a:chExt cx="45" cy="8"/>
        </a:xfrm>
      </xdr:grpSpPr>
      <xdr:sp macro="" textlink="">
        <xdr:nvSpPr>
          <xdr:cNvPr id="10260" name="Line 20">
            <a:extLst>
              <a:ext uri="{FF2B5EF4-FFF2-40B4-BE49-F238E27FC236}">
                <a16:creationId xmlns:a16="http://schemas.microsoft.com/office/drawing/2014/main" id="{76551CEC-C861-5065-432B-789C13D690B1}"/>
              </a:ext>
            </a:extLst>
          </xdr:cNvPr>
          <xdr:cNvSpPr>
            <a:spLocks noChangeShapeType="1"/>
          </xdr:cNvSpPr>
        </xdr:nvSpPr>
        <xdr:spPr bwMode="auto">
          <a:xfrm>
            <a:off x="846" y="1148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6600" mc:Ignorable="a14" a14:legacySpreadsheetColorIndex="53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62" name="AutoShape 22">
            <a:extLst>
              <a:ext uri="{FF2B5EF4-FFF2-40B4-BE49-F238E27FC236}">
                <a16:creationId xmlns:a16="http://schemas.microsoft.com/office/drawing/2014/main" id="{842FC63E-0070-8DA6-5841-891A709240D4}"/>
              </a:ext>
            </a:extLst>
          </xdr:cNvPr>
          <xdr:cNvSpPr>
            <a:spLocks noChangeArrowheads="1"/>
          </xdr:cNvSpPr>
        </xdr:nvSpPr>
        <xdr:spPr bwMode="auto">
          <a:xfrm>
            <a:off x="865" y="1143"/>
            <a:ext cx="8" cy="8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ln w="9525">
            <a:solidFill>
              <a:srgbClr xmlns:mc="http://schemas.openxmlformats.org/markup-compatibility/2006" xmlns:a14="http://schemas.microsoft.com/office/drawing/2010/main" val="FF6600" mc:Ignorable="a14" a14:legacySpreadsheetColorIndex="53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0</xdr:colOff>
      <xdr:row>74</xdr:row>
      <xdr:rowOff>28575</xdr:rowOff>
    </xdr:from>
    <xdr:to>
      <xdr:col>22</xdr:col>
      <xdr:colOff>114300</xdr:colOff>
      <xdr:row>74</xdr:row>
      <xdr:rowOff>142875</xdr:rowOff>
    </xdr:to>
    <xdr:sp macro="" textlink="">
      <xdr:nvSpPr>
        <xdr:cNvPr id="10265" name="Rectangle 25">
          <a:extLst>
            <a:ext uri="{FF2B5EF4-FFF2-40B4-BE49-F238E27FC236}">
              <a16:creationId xmlns:a16="http://schemas.microsoft.com/office/drawing/2014/main" id="{D5D67265-BCE1-375B-D79D-06AEDDEB8575}"/>
            </a:ext>
          </a:extLst>
        </xdr:cNvPr>
        <xdr:cNvSpPr>
          <a:spLocks noChangeArrowheads="1"/>
        </xdr:cNvSpPr>
      </xdr:nvSpPr>
      <xdr:spPr bwMode="auto">
        <a:xfrm>
          <a:off x="13411200" y="12011025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457200</xdr:colOff>
      <xdr:row>74</xdr:row>
      <xdr:rowOff>28575</xdr:rowOff>
    </xdr:from>
    <xdr:to>
      <xdr:col>17</xdr:col>
      <xdr:colOff>571500</xdr:colOff>
      <xdr:row>74</xdr:row>
      <xdr:rowOff>142875</xdr:rowOff>
    </xdr:to>
    <xdr:sp macro="" textlink="">
      <xdr:nvSpPr>
        <xdr:cNvPr id="10266" name="Rectangle 26">
          <a:extLst>
            <a:ext uri="{FF2B5EF4-FFF2-40B4-BE49-F238E27FC236}">
              <a16:creationId xmlns:a16="http://schemas.microsoft.com/office/drawing/2014/main" id="{845DCBE6-A240-EBBB-46BB-B899D47EEDAF}"/>
            </a:ext>
          </a:extLst>
        </xdr:cNvPr>
        <xdr:cNvSpPr>
          <a:spLocks noChangeArrowheads="1"/>
        </xdr:cNvSpPr>
      </xdr:nvSpPr>
      <xdr:spPr bwMode="auto">
        <a:xfrm>
          <a:off x="10820400" y="12011025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485775</xdr:colOff>
      <xdr:row>74</xdr:row>
      <xdr:rowOff>28575</xdr:rowOff>
    </xdr:from>
    <xdr:to>
      <xdr:col>19</xdr:col>
      <xdr:colOff>600075</xdr:colOff>
      <xdr:row>74</xdr:row>
      <xdr:rowOff>142875</xdr:rowOff>
    </xdr:to>
    <xdr:sp macro="" textlink="">
      <xdr:nvSpPr>
        <xdr:cNvPr id="10267" name="Rectangle 27">
          <a:extLst>
            <a:ext uri="{FF2B5EF4-FFF2-40B4-BE49-F238E27FC236}">
              <a16:creationId xmlns:a16="http://schemas.microsoft.com/office/drawing/2014/main" id="{E292D7C5-398C-B589-DA0B-51B9074D4045}"/>
            </a:ext>
          </a:extLst>
        </xdr:cNvPr>
        <xdr:cNvSpPr>
          <a:spLocks noChangeArrowheads="1"/>
        </xdr:cNvSpPr>
      </xdr:nvSpPr>
      <xdr:spPr bwMode="auto">
        <a:xfrm>
          <a:off x="12068175" y="12011025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z%20Trading/ONS/Daily%20Reports/ADO/Rdia17_J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Índice"/>
      <sheetName val="1-Balanço Energético "/>
      <sheetName val="2-Carga Própria"/>
      <sheetName val="2.5-Dem. Hor.  Área Cont. e Reg"/>
      <sheetName val="3-Produção"/>
      <sheetName val="4-Disponibilidade"/>
      <sheetName val="5.1-Deslig. 23h59"/>
      <sheetName val="5.2-Deslig. no dia"/>
      <sheetName val="5.3-Deslig. 23h59 sem CO"/>
      <sheetName val="6-Reserva de Potência"/>
      <sheetName val="7-Operação RJ-ES e SP"/>
      <sheetName val="7.2-Diagrama - RJ-ES"/>
      <sheetName val="7.3-Diagrama - SP"/>
      <sheetName val="7.4-Cargas_Emp_Rio-ES"/>
      <sheetName val="8-Acomp. Hidrologia"/>
      <sheetName val="9-Energético"/>
      <sheetName val="FUR_MAR"/>
      <sheetName val="EMB_ITB"/>
      <sheetName val="AGV_SSI"/>
      <sheetName val="ILS_CPV"/>
      <sheetName val="SME_TUC"/>
      <sheetName val="TMA_SOB"/>
      <sheetName val="GBM_SSA"/>
      <sheetName val="10-Principais Ocorrências"/>
      <sheetName val="DadosHidro"/>
      <sheetName val="DadosFluxo"/>
    </sheetNames>
    <sheetDataSet>
      <sheetData sheetId="0" refreshError="1"/>
      <sheetData sheetId="1">
        <row r="8">
          <cell r="B8">
            <v>15494</v>
          </cell>
          <cell r="C8">
            <v>16627.245833333338</v>
          </cell>
          <cell r="G8">
            <v>7364</v>
          </cell>
          <cell r="H8">
            <v>7154.375</v>
          </cell>
        </row>
        <row r="9">
          <cell r="B9">
            <v>836</v>
          </cell>
          <cell r="C9">
            <v>780</v>
          </cell>
          <cell r="G9">
            <v>1300</v>
          </cell>
          <cell r="H9">
            <v>1422</v>
          </cell>
        </row>
        <row r="10">
          <cell r="B10">
            <v>600</v>
          </cell>
          <cell r="C10">
            <v>574</v>
          </cell>
        </row>
        <row r="11">
          <cell r="G11">
            <v>1841</v>
          </cell>
          <cell r="H11">
            <v>1781.7647604166668</v>
          </cell>
        </row>
        <row r="12">
          <cell r="B12">
            <v>7722</v>
          </cell>
          <cell r="C12">
            <v>7474.1560729166677</v>
          </cell>
          <cell r="G12">
            <v>7874</v>
          </cell>
          <cell r="H12">
            <v>7916.458333333333</v>
          </cell>
        </row>
        <row r="13">
          <cell r="B13">
            <v>27841</v>
          </cell>
          <cell r="C13">
            <v>28388.537500000002</v>
          </cell>
          <cell r="G13">
            <v>2678</v>
          </cell>
          <cell r="H13">
            <v>2486.9605937500005</v>
          </cell>
        </row>
        <row r="14">
          <cell r="B14">
            <v>-2658</v>
          </cell>
          <cell r="C14">
            <v>-2486.9605937499982</v>
          </cell>
          <cell r="G14">
            <v>-47</v>
          </cell>
          <cell r="H14">
            <v>-45.27916666666669</v>
          </cell>
        </row>
        <row r="15">
          <cell r="B15">
            <v>-531</v>
          </cell>
          <cell r="C15">
            <v>-446.17500000000001</v>
          </cell>
        </row>
        <row r="16">
          <cell r="B16">
            <v>0</v>
          </cell>
          <cell r="C16">
            <v>1.3073986337985843E-12</v>
          </cell>
        </row>
        <row r="18">
          <cell r="G18">
            <v>5420.8625000000002</v>
          </cell>
        </row>
        <row r="19">
          <cell r="G19">
            <v>3835.0583333333338</v>
          </cell>
        </row>
        <row r="20">
          <cell r="G20">
            <v>-705.19583333333355</v>
          </cell>
        </row>
        <row r="24">
          <cell r="B24">
            <v>3530</v>
          </cell>
          <cell r="C24">
            <v>3469.4250000000006</v>
          </cell>
          <cell r="G24">
            <v>5932</v>
          </cell>
          <cell r="H24">
            <v>5810.1374999999998</v>
          </cell>
        </row>
        <row r="25">
          <cell r="B25">
            <v>0</v>
          </cell>
          <cell r="C25">
            <v>0</v>
          </cell>
          <cell r="G25">
            <v>0</v>
          </cell>
          <cell r="H25">
            <v>0</v>
          </cell>
        </row>
        <row r="27">
          <cell r="B27">
            <v>2550</v>
          </cell>
          <cell r="C27">
            <v>2570.3333333333335</v>
          </cell>
          <cell r="G27">
            <v>6351</v>
          </cell>
          <cell r="H27">
            <v>6263.0541666666677</v>
          </cell>
        </row>
        <row r="28">
          <cell r="B28">
            <v>419</v>
          </cell>
          <cell r="C28">
            <v>452.91666666666657</v>
          </cell>
          <cell r="G28">
            <v>-419</v>
          </cell>
          <cell r="H28">
            <v>-452.91666666666657</v>
          </cell>
        </row>
        <row r="29">
          <cell r="B29">
            <v>531</v>
          </cell>
          <cell r="C29">
            <v>446.17500000000001</v>
          </cell>
          <cell r="G29">
            <v>0</v>
          </cell>
          <cell r="H29">
            <v>-1.3073986337985843E-12</v>
          </cell>
        </row>
      </sheetData>
      <sheetData sheetId="2" refreshError="1"/>
      <sheetData sheetId="3" refreshError="1"/>
      <sheetData sheetId="4">
        <row r="9">
          <cell r="A9" t="str">
            <v>PCH CEB</v>
          </cell>
          <cell r="B9">
            <v>18</v>
          </cell>
          <cell r="C9">
            <v>18</v>
          </cell>
        </row>
        <row r="10">
          <cell r="A10" t="str">
            <v>CAMARGOS</v>
          </cell>
          <cell r="B10">
            <v>10.666666666666666</v>
          </cell>
          <cell r="C10">
            <v>13.370833333333335</v>
          </cell>
        </row>
        <row r="11">
          <cell r="A11" t="str">
            <v>EMBORCAÇÃO</v>
          </cell>
          <cell r="B11">
            <v>130</v>
          </cell>
          <cell r="C11">
            <v>179.26666666666662</v>
          </cell>
        </row>
        <row r="12">
          <cell r="A12" t="str">
            <v>G.AMORIM</v>
          </cell>
          <cell r="B12">
            <v>53.8125</v>
          </cell>
          <cell r="C12">
            <v>110.29166666666667</v>
          </cell>
        </row>
        <row r="13">
          <cell r="A13" t="str">
            <v>IGARAPAVA</v>
          </cell>
          <cell r="B13">
            <v>107.8125</v>
          </cell>
          <cell r="C13">
            <v>121.02083333333336</v>
          </cell>
        </row>
        <row r="14">
          <cell r="A14" t="str">
            <v>ITUTINGA</v>
          </cell>
          <cell r="B14">
            <v>18</v>
          </cell>
          <cell r="C14">
            <v>23.1</v>
          </cell>
        </row>
        <row r="15">
          <cell r="A15" t="str">
            <v>JAGUARA</v>
          </cell>
          <cell r="B15">
            <v>252.70833333333334</v>
          </cell>
          <cell r="C15">
            <v>282.6875</v>
          </cell>
        </row>
        <row r="16">
          <cell r="A16" t="str">
            <v>MIRANDA</v>
          </cell>
          <cell r="B16">
            <v>118.33333333333333</v>
          </cell>
          <cell r="C16">
            <v>142.64166666666668</v>
          </cell>
        </row>
        <row r="17">
          <cell r="A17" t="str">
            <v>NOVA PONTE</v>
          </cell>
          <cell r="B17">
            <v>125</v>
          </cell>
          <cell r="C17">
            <v>169.45416666666671</v>
          </cell>
        </row>
        <row r="18">
          <cell r="A18" t="str">
            <v>PCH CEMIG</v>
          </cell>
          <cell r="B18">
            <v>52.916666666666664</v>
          </cell>
          <cell r="C18">
            <v>53.595833333333331</v>
          </cell>
        </row>
        <row r="19">
          <cell r="A19" t="str">
            <v>S.GRANDE</v>
          </cell>
          <cell r="B19">
            <v>69.6875</v>
          </cell>
          <cell r="C19">
            <v>70</v>
          </cell>
        </row>
        <row r="20">
          <cell r="A20" t="str">
            <v>S.SIMÃO</v>
          </cell>
          <cell r="B20">
            <v>1528.75</v>
          </cell>
          <cell r="C20">
            <v>1541.9416666666668</v>
          </cell>
        </row>
        <row r="21">
          <cell r="A21" t="str">
            <v>SOBRAGI</v>
          </cell>
          <cell r="B21">
            <v>26</v>
          </cell>
          <cell r="C21">
            <v>25.045833333333334</v>
          </cell>
        </row>
        <row r="22">
          <cell r="A22" t="str">
            <v>T.MARIAS</v>
          </cell>
          <cell r="B22">
            <v>168.95833333333334</v>
          </cell>
          <cell r="C22">
            <v>218.78333333333333</v>
          </cell>
        </row>
        <row r="23">
          <cell r="A23" t="str">
            <v>V.GRANDE</v>
          </cell>
          <cell r="B23">
            <v>170</v>
          </cell>
          <cell r="C23">
            <v>210.17500000000001</v>
          </cell>
        </row>
        <row r="24">
          <cell r="A24" t="str">
            <v>PCH CELG</v>
          </cell>
          <cell r="B24">
            <v>8.9749999999999996</v>
          </cell>
          <cell r="C24">
            <v>8.9749999999999996</v>
          </cell>
        </row>
        <row r="25">
          <cell r="A25" t="str">
            <v>PCH CPFL</v>
          </cell>
          <cell r="B25">
            <v>54.791666666666664</v>
          </cell>
          <cell r="C25">
            <v>54.791666666666664</v>
          </cell>
        </row>
        <row r="26">
          <cell r="A26" t="str">
            <v>PCH CERJ</v>
          </cell>
          <cell r="B26">
            <v>33.529166666666669</v>
          </cell>
          <cell r="C26">
            <v>33.529166666666669</v>
          </cell>
        </row>
        <row r="27">
          <cell r="A27" t="str">
            <v>A.VERMELHA</v>
          </cell>
          <cell r="B27">
            <v>879.16666666666663</v>
          </cell>
          <cell r="C27">
            <v>925.9375</v>
          </cell>
        </row>
        <row r="28">
          <cell r="A28" t="str">
            <v>B.BONITA</v>
          </cell>
          <cell r="B28">
            <v>116</v>
          </cell>
          <cell r="C28">
            <v>105.39583333333331</v>
          </cell>
        </row>
        <row r="29">
          <cell r="A29" t="str">
            <v>BARIRI</v>
          </cell>
          <cell r="B29">
            <v>130</v>
          </cell>
          <cell r="C29">
            <v>125.08750000000001</v>
          </cell>
        </row>
        <row r="30">
          <cell r="A30" t="str">
            <v>CACONDE</v>
          </cell>
          <cell r="B30">
            <v>60</v>
          </cell>
          <cell r="C30">
            <v>58.458333333333321</v>
          </cell>
        </row>
        <row r="31">
          <cell r="A31" t="str">
            <v>CHAVANTES</v>
          </cell>
          <cell r="B31">
            <v>81.166666666666671</v>
          </cell>
          <cell r="C31">
            <v>92.083333333333314</v>
          </cell>
        </row>
        <row r="32">
          <cell r="A32" t="str">
            <v>CAPIVARA</v>
          </cell>
          <cell r="B32">
            <v>535</v>
          </cell>
          <cell r="C32">
            <v>522.73333333333323</v>
          </cell>
        </row>
        <row r="33">
          <cell r="A33" t="str">
            <v>CANOAS I</v>
          </cell>
          <cell r="B33">
            <v>54</v>
          </cell>
          <cell r="C33">
            <v>54</v>
          </cell>
        </row>
        <row r="34">
          <cell r="A34" t="str">
            <v>CANOAS II</v>
          </cell>
          <cell r="B34">
            <v>45</v>
          </cell>
          <cell r="C34">
            <v>44.6875</v>
          </cell>
        </row>
        <row r="35">
          <cell r="A35" t="str">
            <v>Total CANOAS</v>
          </cell>
          <cell r="B35">
            <v>99</v>
          </cell>
          <cell r="C35">
            <v>98.6875</v>
          </cell>
        </row>
        <row r="36">
          <cell r="A36" t="str">
            <v>E.CUNHA</v>
          </cell>
          <cell r="B36">
            <v>68.333333333333329</v>
          </cell>
          <cell r="C36">
            <v>67.629166666666677</v>
          </cell>
        </row>
        <row r="37">
          <cell r="A37" t="str">
            <v>IBITINGA</v>
          </cell>
          <cell r="B37">
            <v>126</v>
          </cell>
          <cell r="C37">
            <v>123.29583333333333</v>
          </cell>
        </row>
        <row r="38">
          <cell r="A38" t="str">
            <v>I.SOLTEIRA</v>
          </cell>
          <cell r="B38">
            <v>2039.5833333333333</v>
          </cell>
          <cell r="C38">
            <v>2065.0916666666667</v>
          </cell>
        </row>
        <row r="39">
          <cell r="A39" t="str">
            <v>JAGUARI</v>
          </cell>
          <cell r="B39">
            <v>4</v>
          </cell>
          <cell r="C39">
            <v>3.9541666666666657</v>
          </cell>
        </row>
        <row r="40">
          <cell r="A40" t="str">
            <v>JUPIA</v>
          </cell>
          <cell r="B40">
            <v>1189.5833333333333</v>
          </cell>
          <cell r="C40">
            <v>1244.1666666666665</v>
          </cell>
        </row>
        <row r="41">
          <cell r="A41" t="str">
            <v>JURUMIRIM</v>
          </cell>
          <cell r="B41">
            <v>24.333333333333332</v>
          </cell>
          <cell r="C41">
            <v>25.083333333333332</v>
          </cell>
        </row>
        <row r="42">
          <cell r="A42" t="str">
            <v>LIMOEIRO</v>
          </cell>
          <cell r="B42">
            <v>20.833333333333332</v>
          </cell>
          <cell r="C42">
            <v>20.433333333333334</v>
          </cell>
        </row>
        <row r="43">
          <cell r="A43" t="str">
            <v>N. AVANHAN</v>
          </cell>
          <cell r="B43">
            <v>243.33333333333334</v>
          </cell>
          <cell r="C43">
            <v>250.70833333333337</v>
          </cell>
        </row>
        <row r="44">
          <cell r="A44" t="str">
            <v>PARAIBUNA</v>
          </cell>
          <cell r="B44">
            <v>10</v>
          </cell>
          <cell r="C44">
            <v>12.554166666666665</v>
          </cell>
        </row>
        <row r="45">
          <cell r="A45" t="str">
            <v>PCH CESP</v>
          </cell>
          <cell r="B45">
            <v>0</v>
          </cell>
          <cell r="C45">
            <v>0</v>
          </cell>
        </row>
        <row r="46">
          <cell r="A46" t="str">
            <v>P.PRIMAVERA</v>
          </cell>
          <cell r="B46">
            <v>525</v>
          </cell>
          <cell r="C46">
            <v>520.9708333333333</v>
          </cell>
        </row>
        <row r="47">
          <cell r="A47" t="str">
            <v>PROMISSÃO</v>
          </cell>
          <cell r="B47">
            <v>162.91666666666666</v>
          </cell>
          <cell r="C47">
            <v>165.69583333333333</v>
          </cell>
        </row>
        <row r="48">
          <cell r="A48" t="str">
            <v>ROSANA</v>
          </cell>
          <cell r="B48">
            <v>277.5</v>
          </cell>
          <cell r="C48">
            <v>288.7791666666667</v>
          </cell>
        </row>
        <row r="49">
          <cell r="A49" t="str">
            <v>S. GRANDE</v>
          </cell>
          <cell r="B49">
            <v>45.125</v>
          </cell>
          <cell r="C49">
            <v>44.6875</v>
          </cell>
        </row>
        <row r="50">
          <cell r="A50" t="str">
            <v>TAQUARUÇU</v>
          </cell>
          <cell r="B50">
            <v>314.79166666666669</v>
          </cell>
          <cell r="C50">
            <v>337.53750000000002</v>
          </cell>
        </row>
        <row r="51">
          <cell r="A51" t="str">
            <v>T.IRMÃOS</v>
          </cell>
          <cell r="B51">
            <v>148.95833333333334</v>
          </cell>
          <cell r="C51">
            <v>254.77916666666667</v>
          </cell>
        </row>
        <row r="52">
          <cell r="A52" t="str">
            <v>PCH CEMAT</v>
          </cell>
          <cell r="B52">
            <v>94.554166666666674</v>
          </cell>
          <cell r="C52">
            <v>94.554166666666674</v>
          </cell>
        </row>
        <row r="53">
          <cell r="A53" t="str">
            <v>MASCARENHAS</v>
          </cell>
          <cell r="B53">
            <v>130</v>
          </cell>
          <cell r="C53">
            <v>130</v>
          </cell>
        </row>
        <row r="54">
          <cell r="A54" t="str">
            <v>PCH ESCELSA</v>
          </cell>
          <cell r="B54">
            <v>55</v>
          </cell>
          <cell r="C54">
            <v>55</v>
          </cell>
        </row>
        <row r="55">
          <cell r="A55" t="str">
            <v>H.BORDEN Ext</v>
          </cell>
          <cell r="B55">
            <v>62.458333333333336</v>
          </cell>
          <cell r="C55">
            <v>119.42083333333333</v>
          </cell>
        </row>
        <row r="56">
          <cell r="A56" t="str">
            <v>H.BORDEN Sub.</v>
          </cell>
          <cell r="B56">
            <v>0</v>
          </cell>
          <cell r="C56">
            <v>69.983333333333334</v>
          </cell>
        </row>
        <row r="57">
          <cell r="A57" t="str">
            <v>Total H.BORDEN</v>
          </cell>
          <cell r="B57">
            <v>62.458333333333336</v>
          </cell>
          <cell r="C57">
            <v>189.40416666666667</v>
          </cell>
        </row>
        <row r="58">
          <cell r="A58" t="str">
            <v>PCH EPAULO</v>
          </cell>
          <cell r="B58">
            <v>20</v>
          </cell>
          <cell r="C58">
            <v>20</v>
          </cell>
        </row>
        <row r="59">
          <cell r="A59" t="str">
            <v>P.COLOMBIA</v>
          </cell>
          <cell r="B59">
            <v>158.33333333333334</v>
          </cell>
          <cell r="C59">
            <v>186.00833333333335</v>
          </cell>
        </row>
        <row r="60">
          <cell r="A60" t="str">
            <v xml:space="preserve">CORUMBÁ </v>
          </cell>
          <cell r="B60">
            <v>375</v>
          </cell>
          <cell r="C60">
            <v>373.64166666666665</v>
          </cell>
        </row>
        <row r="61">
          <cell r="A61" t="str">
            <v>FUNIL</v>
          </cell>
          <cell r="B61">
            <v>118.33333333333333</v>
          </cell>
          <cell r="C61">
            <v>131.78749999999999</v>
          </cell>
        </row>
        <row r="62">
          <cell r="A62" t="str">
            <v>FURNAS</v>
          </cell>
          <cell r="B62">
            <v>404.16666666666669</v>
          </cell>
          <cell r="C62">
            <v>490.10833333333335</v>
          </cell>
        </row>
        <row r="63">
          <cell r="A63" t="str">
            <v>ITUMBIARA</v>
          </cell>
          <cell r="B63">
            <v>816.66666666666663</v>
          </cell>
          <cell r="C63">
            <v>900.83749999999998</v>
          </cell>
        </row>
        <row r="64">
          <cell r="A64" t="str">
            <v>ESTREITO</v>
          </cell>
          <cell r="B64">
            <v>302.08333333333331</v>
          </cell>
          <cell r="C64">
            <v>358.72083333333325</v>
          </cell>
        </row>
        <row r="65">
          <cell r="A65" t="str">
            <v>MANSO</v>
          </cell>
          <cell r="B65">
            <v>24</v>
          </cell>
          <cell r="C65">
            <v>24</v>
          </cell>
        </row>
        <row r="66">
          <cell r="A66" t="str">
            <v>M.MORAES</v>
          </cell>
          <cell r="B66">
            <v>260.41666666666669</v>
          </cell>
          <cell r="C66">
            <v>289.78333333333336</v>
          </cell>
        </row>
        <row r="67">
          <cell r="A67" t="str">
            <v>MARIMBONDO</v>
          </cell>
          <cell r="B67">
            <v>690.83333333333337</v>
          </cell>
          <cell r="C67">
            <v>740.60833333333346</v>
          </cell>
        </row>
        <row r="68">
          <cell r="A68" t="str">
            <v>S. MESA</v>
          </cell>
          <cell r="B68">
            <v>1027.0833333333333</v>
          </cell>
          <cell r="C68">
            <v>1029.9875</v>
          </cell>
        </row>
        <row r="69">
          <cell r="A69" t="str">
            <v>C.DOURADA</v>
          </cell>
          <cell r="B69">
            <v>348.125</v>
          </cell>
          <cell r="C69">
            <v>406.91250000000002</v>
          </cell>
        </row>
        <row r="70">
          <cell r="A70" t="str">
            <v>FONTES</v>
          </cell>
          <cell r="B70">
            <v>106.79166666666667</v>
          </cell>
          <cell r="C70">
            <v>105.3625</v>
          </cell>
        </row>
        <row r="71">
          <cell r="A71" t="str">
            <v>I. POMBOS</v>
          </cell>
          <cell r="B71">
            <v>68.875</v>
          </cell>
          <cell r="C71">
            <v>67.158333333333331</v>
          </cell>
        </row>
        <row r="72">
          <cell r="A72" t="str">
            <v>N.PEÇANHA</v>
          </cell>
          <cell r="B72">
            <v>325.83333333333331</v>
          </cell>
          <cell r="C72">
            <v>341.38749999999999</v>
          </cell>
        </row>
        <row r="73">
          <cell r="A73" t="str">
            <v>P.PASSOS</v>
          </cell>
          <cell r="B73">
            <v>44.791666666666664</v>
          </cell>
          <cell r="C73">
            <v>49.558333333333337</v>
          </cell>
        </row>
        <row r="74">
          <cell r="A74" t="str">
            <v>STA BRANCA</v>
          </cell>
          <cell r="B74">
            <v>12</v>
          </cell>
          <cell r="C74">
            <v>12.025</v>
          </cell>
        </row>
        <row r="75">
          <cell r="A75" t="str">
            <v>PCH CEEE</v>
          </cell>
          <cell r="B75">
            <v>25.666666666666668</v>
          </cell>
          <cell r="C75">
            <v>33.85</v>
          </cell>
        </row>
        <row r="76">
          <cell r="A76" t="str">
            <v>CANASTRA</v>
          </cell>
          <cell r="B76">
            <v>30.104166666666668</v>
          </cell>
          <cell r="C76">
            <v>15.658333333333333</v>
          </cell>
        </row>
        <row r="77">
          <cell r="A77" t="str">
            <v>ITAUBA</v>
          </cell>
          <cell r="B77">
            <v>387.97916666666669</v>
          </cell>
          <cell r="C77">
            <v>402.08749999999998</v>
          </cell>
        </row>
        <row r="78">
          <cell r="A78" t="str">
            <v>JACUI</v>
          </cell>
          <cell r="B78">
            <v>180</v>
          </cell>
          <cell r="C78">
            <v>175.54166666666666</v>
          </cell>
        </row>
        <row r="79">
          <cell r="A79" t="str">
            <v>PASSO REAL</v>
          </cell>
          <cell r="B79">
            <v>150</v>
          </cell>
          <cell r="C79">
            <v>151.39166666666668</v>
          </cell>
        </row>
        <row r="80">
          <cell r="A80" t="str">
            <v>GBM</v>
          </cell>
          <cell r="B80">
            <v>1201.8958333333333</v>
          </cell>
          <cell r="C80">
            <v>1202.0083333333337</v>
          </cell>
        </row>
        <row r="81">
          <cell r="A81" t="str">
            <v>GPS</v>
          </cell>
          <cell r="B81">
            <v>131.77083333333334</v>
          </cell>
          <cell r="C81">
            <v>165.22083333333333</v>
          </cell>
        </row>
        <row r="82">
          <cell r="A82" t="str">
            <v>PCH COPEL</v>
          </cell>
          <cell r="B82">
            <v>55</v>
          </cell>
          <cell r="C82">
            <v>55.741666666666667</v>
          </cell>
        </row>
        <row r="83">
          <cell r="A83" t="str">
            <v>S.CAXIAS</v>
          </cell>
          <cell r="B83">
            <v>1093.4166666666667</v>
          </cell>
          <cell r="C83">
            <v>1058.0333333333335</v>
          </cell>
        </row>
        <row r="84">
          <cell r="A84" t="str">
            <v>SEGREDO</v>
          </cell>
          <cell r="B84">
            <v>979.29166666666663</v>
          </cell>
          <cell r="C84">
            <v>928.22500000000002</v>
          </cell>
        </row>
        <row r="85">
          <cell r="A85" t="str">
            <v>ITÁ</v>
          </cell>
          <cell r="B85">
            <v>1160</v>
          </cell>
          <cell r="C85">
            <v>1155.2</v>
          </cell>
        </row>
        <row r="86">
          <cell r="A86" t="str">
            <v>P.FUNDO</v>
          </cell>
          <cell r="B86">
            <v>125.83333333333333</v>
          </cell>
          <cell r="C86">
            <v>101.59166666666668</v>
          </cell>
        </row>
        <row r="87">
          <cell r="A87" t="str">
            <v>S.OSÓRIO</v>
          </cell>
          <cell r="B87">
            <v>700.625</v>
          </cell>
          <cell r="C87">
            <v>665.15833333333342</v>
          </cell>
        </row>
        <row r="88">
          <cell r="A88" t="str">
            <v>S.SANTIAGO</v>
          </cell>
          <cell r="B88">
            <v>1067.5833333333333</v>
          </cell>
          <cell r="C88">
            <v>967.54166666666652</v>
          </cell>
        </row>
        <row r="89">
          <cell r="A89" t="str">
            <v>PCH ENERSUL</v>
          </cell>
          <cell r="B89">
            <v>29</v>
          </cell>
          <cell r="C89">
            <v>31.4</v>
          </cell>
        </row>
        <row r="90">
          <cell r="A90" t="str">
            <v>PCH CELESC</v>
          </cell>
          <cell r="B90">
            <v>45.654166666666669</v>
          </cell>
          <cell r="C90">
            <v>45.654166666666669</v>
          </cell>
        </row>
        <row r="91">
          <cell r="A91" t="str">
            <v>ITAIPU 50 Hz</v>
          </cell>
          <cell r="B91">
            <v>5483.333333333333</v>
          </cell>
          <cell r="C91">
            <v>5420.8625000000002</v>
          </cell>
        </row>
        <row r="92">
          <cell r="A92" t="str">
            <v>ITAIPU 60 Hz</v>
          </cell>
          <cell r="B92">
            <v>4079.1666666666665</v>
          </cell>
          <cell r="C92">
            <v>3835.0583333333338</v>
          </cell>
        </row>
        <row r="93">
          <cell r="A93" t="str">
            <v>PCH CHESF</v>
          </cell>
          <cell r="B93">
            <v>41</v>
          </cell>
          <cell r="C93">
            <v>33.220833333333339</v>
          </cell>
        </row>
        <row r="94">
          <cell r="A94" t="str">
            <v>A SALLES</v>
          </cell>
          <cell r="B94">
            <v>161.33333333333334</v>
          </cell>
          <cell r="C94">
            <v>165.62916666666663</v>
          </cell>
        </row>
        <row r="95">
          <cell r="A95" t="str">
            <v>B. ESPERANÇA</v>
          </cell>
          <cell r="B95">
            <v>161</v>
          </cell>
          <cell r="C95">
            <v>161</v>
          </cell>
        </row>
        <row r="96">
          <cell r="A96" t="str">
            <v>L.GONZAGA</v>
          </cell>
          <cell r="B96">
            <v>945.83333333333337</v>
          </cell>
          <cell r="C96">
            <v>943.47916666666652</v>
          </cell>
        </row>
        <row r="97">
          <cell r="A97" t="str">
            <v>SOBRADINHO</v>
          </cell>
          <cell r="B97">
            <v>451.66666666666669</v>
          </cell>
          <cell r="C97">
            <v>453.61666666666662</v>
          </cell>
        </row>
        <row r="98">
          <cell r="A98" t="str">
            <v>P.AFONSO 1</v>
          </cell>
          <cell r="B98">
            <v>120</v>
          </cell>
          <cell r="C98">
            <v>117.35416666666667</v>
          </cell>
        </row>
        <row r="99">
          <cell r="A99" t="str">
            <v>P.AFONSO 2</v>
          </cell>
          <cell r="B99">
            <v>210</v>
          </cell>
          <cell r="C99">
            <v>199.21250000000001</v>
          </cell>
        </row>
        <row r="100">
          <cell r="A100" t="str">
            <v>P.AFONSO 3</v>
          </cell>
          <cell r="B100">
            <v>351.25</v>
          </cell>
          <cell r="C100">
            <v>367.47500000000002</v>
          </cell>
        </row>
        <row r="101">
          <cell r="A101" t="str">
            <v>P.AFONSO 4</v>
          </cell>
          <cell r="B101">
            <v>1220.75</v>
          </cell>
          <cell r="C101">
            <v>1125.3083333333334</v>
          </cell>
        </row>
        <row r="102">
          <cell r="A102" t="str">
            <v>XINGÓ</v>
          </cell>
          <cell r="B102">
            <v>2268.75</v>
          </cell>
          <cell r="C102">
            <v>2243.8874999999994</v>
          </cell>
        </row>
        <row r="103">
          <cell r="A103" t="str">
            <v>TUCURUÍ</v>
          </cell>
          <cell r="B103">
            <v>3500</v>
          </cell>
          <cell r="C103">
            <v>3442.2166666666672</v>
          </cell>
        </row>
        <row r="104">
          <cell r="A104" t="str">
            <v>CURUÁ-UNA</v>
          </cell>
          <cell r="B104">
            <v>30</v>
          </cell>
          <cell r="C104">
            <v>27.166666666666668</v>
          </cell>
        </row>
        <row r="124">
          <cell r="A124" t="str">
            <v>Usinas</v>
          </cell>
          <cell r="B124" t="str">
            <v>PDP</v>
          </cell>
          <cell r="C124" t="str">
            <v>Verificado</v>
          </cell>
        </row>
        <row r="125">
          <cell r="A125" t="str">
            <v>Igarapé</v>
          </cell>
          <cell r="B125">
            <v>131</v>
          </cell>
          <cell r="C125">
            <v>130.82083333333335</v>
          </cell>
        </row>
        <row r="126">
          <cell r="A126" t="str">
            <v>Carioba*</v>
          </cell>
          <cell r="B126">
            <v>0</v>
          </cell>
          <cell r="C126">
            <v>0</v>
          </cell>
        </row>
        <row r="127">
          <cell r="A127" t="str">
            <v>Piratininga</v>
          </cell>
          <cell r="B127">
            <v>245</v>
          </cell>
          <cell r="C127">
            <v>231.97083333333339</v>
          </cell>
        </row>
        <row r="128">
          <cell r="A128" t="str">
            <v>Angra</v>
          </cell>
          <cell r="B128">
            <v>600</v>
          </cell>
          <cell r="C128">
            <v>574.33749999999998</v>
          </cell>
        </row>
        <row r="129">
          <cell r="A129" t="str">
            <v>Campos</v>
          </cell>
          <cell r="B129">
            <v>30</v>
          </cell>
          <cell r="C129">
            <v>28</v>
          </cell>
        </row>
        <row r="130">
          <cell r="A130" t="str">
            <v>Sta Cruz</v>
          </cell>
          <cell r="B130">
            <v>430</v>
          </cell>
          <cell r="C130">
            <v>388.99583333333334</v>
          </cell>
        </row>
        <row r="131">
          <cell r="A131" t="str">
            <v>S. Gonçalo</v>
          </cell>
          <cell r="B131">
            <v>0</v>
          </cell>
          <cell r="C131">
            <v>0</v>
          </cell>
        </row>
        <row r="132">
          <cell r="A132" t="str">
            <v>Cuiabá</v>
          </cell>
          <cell r="B132">
            <v>0</v>
          </cell>
          <cell r="C132">
            <v>0</v>
          </cell>
        </row>
        <row r="133">
          <cell r="A133" t="str">
            <v>PCT CE</v>
          </cell>
          <cell r="C133">
            <v>5</v>
          </cell>
        </row>
        <row r="134">
          <cell r="A134" t="str">
            <v>P.Médici</v>
          </cell>
          <cell r="B134">
            <v>280</v>
          </cell>
          <cell r="C134">
            <v>252.45833333333329</v>
          </cell>
        </row>
        <row r="135">
          <cell r="A135" t="str">
            <v>Figueira</v>
          </cell>
          <cell r="B135">
            <v>6</v>
          </cell>
          <cell r="C135">
            <v>4.4916666666666663</v>
          </cell>
        </row>
        <row r="136">
          <cell r="A136" t="str">
            <v>Alegrete</v>
          </cell>
          <cell r="B136">
            <v>0</v>
          </cell>
          <cell r="C136">
            <v>0</v>
          </cell>
        </row>
        <row r="137">
          <cell r="A137" t="str">
            <v>Charqueadas</v>
          </cell>
          <cell r="B137">
            <v>25</v>
          </cell>
          <cell r="C137">
            <v>27.587499999999999</v>
          </cell>
        </row>
        <row r="138">
          <cell r="A138" t="str">
            <v>J.Lacerda A</v>
          </cell>
          <cell r="B138">
            <v>91</v>
          </cell>
          <cell r="C138">
            <v>111.875</v>
          </cell>
        </row>
        <row r="139">
          <cell r="A139" t="str">
            <v>J.Lacerda B</v>
          </cell>
          <cell r="B139">
            <v>160</v>
          </cell>
          <cell r="C139">
            <v>207.6791666666667</v>
          </cell>
        </row>
        <row r="140">
          <cell r="A140" t="str">
            <v>J.Lacerda C</v>
          </cell>
          <cell r="B140">
            <v>180</v>
          </cell>
          <cell r="C140">
            <v>263.12916666666666</v>
          </cell>
        </row>
        <row r="141">
          <cell r="A141" t="str">
            <v>W.Arjona</v>
          </cell>
          <cell r="B141">
            <v>2.9166666666666665</v>
          </cell>
          <cell r="C141">
            <v>0</v>
          </cell>
        </row>
        <row r="142">
          <cell r="A142" t="str">
            <v>Nutepa</v>
          </cell>
          <cell r="B142">
            <v>0</v>
          </cell>
          <cell r="C142">
            <v>0</v>
          </cell>
        </row>
        <row r="143">
          <cell r="A143" t="str">
            <v>S.Jerônimo</v>
          </cell>
          <cell r="B143">
            <v>5</v>
          </cell>
        </row>
        <row r="144">
          <cell r="A144" t="str">
            <v>Uruguaiana</v>
          </cell>
          <cell r="B144">
            <v>550</v>
          </cell>
          <cell r="C144">
            <v>550</v>
          </cell>
        </row>
        <row r="145">
          <cell r="A145" t="str">
            <v>Camaçari</v>
          </cell>
          <cell r="B145">
            <v>0</v>
          </cell>
          <cell r="C145">
            <v>0</v>
          </cell>
        </row>
      </sheetData>
      <sheetData sheetId="5">
        <row r="8">
          <cell r="A8" t="str">
            <v>PUS CEB</v>
          </cell>
          <cell r="B8">
            <v>50.7042236328125</v>
          </cell>
          <cell r="C8">
            <v>18</v>
          </cell>
          <cell r="E8" t="str">
            <v>IGARAPÉ</v>
          </cell>
          <cell r="F8">
            <v>99.771514892578125</v>
          </cell>
          <cell r="G8">
            <v>131</v>
          </cell>
        </row>
        <row r="9">
          <cell r="A9" t="str">
            <v>CAMARGOS</v>
          </cell>
          <cell r="B9">
            <v>58.333332061767578</v>
          </cell>
          <cell r="C9">
            <v>28</v>
          </cell>
          <cell r="E9" t="str">
            <v>CARIOBA</v>
          </cell>
          <cell r="F9">
            <v>13.888889312744141</v>
          </cell>
          <cell r="G9">
            <v>5</v>
          </cell>
        </row>
        <row r="10">
          <cell r="A10" t="str">
            <v>EMBORCAÇÃO</v>
          </cell>
          <cell r="B10">
            <v>49.83221435546875</v>
          </cell>
          <cell r="C10">
            <v>594</v>
          </cell>
          <cell r="E10" t="str">
            <v>PIRATININGA</v>
          </cell>
          <cell r="F10">
            <v>68.085105895996094</v>
          </cell>
          <cell r="G10">
            <v>320</v>
          </cell>
        </row>
        <row r="11">
          <cell r="A11" t="str">
            <v>G.AMORIM</v>
          </cell>
          <cell r="B11">
            <v>102.85713958740234</v>
          </cell>
          <cell r="C11">
            <v>144</v>
          </cell>
          <cell r="E11" t="str">
            <v>ANGRA</v>
          </cell>
          <cell r="F11">
            <v>87.519027709960938</v>
          </cell>
          <cell r="G11">
            <v>575</v>
          </cell>
        </row>
        <row r="12">
          <cell r="A12" t="str">
            <v>IGARAPAVA</v>
          </cell>
          <cell r="B12">
            <v>100</v>
          </cell>
          <cell r="C12">
            <v>210</v>
          </cell>
          <cell r="E12" t="str">
            <v>CAMPOS</v>
          </cell>
          <cell r="F12">
            <v>87.5</v>
          </cell>
          <cell r="G12">
            <v>28</v>
          </cell>
        </row>
        <row r="13">
          <cell r="A13" t="str">
            <v>ITUTINGA</v>
          </cell>
          <cell r="B13">
            <v>98.076919555664063</v>
          </cell>
          <cell r="C13">
            <v>51</v>
          </cell>
          <cell r="E13" t="str">
            <v>STA CRUZ</v>
          </cell>
          <cell r="F13">
            <v>64.96710205078125</v>
          </cell>
          <cell r="G13">
            <v>395</v>
          </cell>
        </row>
        <row r="14">
          <cell r="A14" t="str">
            <v>JAGUARA</v>
          </cell>
          <cell r="B14">
            <v>85.141510009765625</v>
          </cell>
          <cell r="C14">
            <v>361</v>
          </cell>
          <cell r="E14" t="str">
            <v>NUTEPA</v>
          </cell>
          <cell r="F14">
            <v>0</v>
          </cell>
          <cell r="G14">
            <v>0</v>
          </cell>
        </row>
        <row r="15">
          <cell r="A15" t="str">
            <v>MIRANDA</v>
          </cell>
          <cell r="B15">
            <v>66.666664123535156</v>
          </cell>
          <cell r="C15">
            <v>272</v>
          </cell>
          <cell r="E15" t="str">
            <v>SÃO JERÔNIMO</v>
          </cell>
          <cell r="F15">
            <v>29.411764144897461</v>
          </cell>
          <cell r="G15">
            <v>5</v>
          </cell>
        </row>
        <row r="16">
          <cell r="A16" t="str">
            <v>NOVA PONTE</v>
          </cell>
          <cell r="B16">
            <v>82.352943420410156</v>
          </cell>
          <cell r="C16">
            <v>420</v>
          </cell>
          <cell r="E16" t="str">
            <v>P.MÉDICI</v>
          </cell>
          <cell r="F16">
            <v>62.107624053955078</v>
          </cell>
          <cell r="G16">
            <v>277</v>
          </cell>
        </row>
        <row r="17">
          <cell r="A17" t="str">
            <v>PCH CEMIG</v>
          </cell>
          <cell r="B17">
            <v>50.886661529541016</v>
          </cell>
          <cell r="C17">
            <v>66</v>
          </cell>
          <cell r="E17" t="str">
            <v>URUGUAIANA **</v>
          </cell>
          <cell r="F17" t="str">
            <v>-</v>
          </cell>
          <cell r="G17">
            <v>550</v>
          </cell>
        </row>
        <row r="18">
          <cell r="A18" t="str">
            <v>S.GRANDE</v>
          </cell>
          <cell r="B18">
            <v>100</v>
          </cell>
          <cell r="C18">
            <v>102</v>
          </cell>
          <cell r="E18" t="str">
            <v>FIGUEIRA</v>
          </cell>
          <cell r="F18">
            <v>30</v>
          </cell>
          <cell r="G18">
            <v>6</v>
          </cell>
        </row>
        <row r="19">
          <cell r="A19" t="str">
            <v>S.SIMÃO</v>
          </cell>
          <cell r="B19">
            <v>93.976608276367188</v>
          </cell>
          <cell r="C19">
            <v>1607</v>
          </cell>
          <cell r="E19" t="str">
            <v>ALEGRETE</v>
          </cell>
          <cell r="F19">
            <v>0</v>
          </cell>
          <cell r="G19">
            <v>0</v>
          </cell>
        </row>
        <row r="20">
          <cell r="A20" t="str">
            <v>SOBRAGI</v>
          </cell>
          <cell r="B20">
            <v>65.359481811523438</v>
          </cell>
          <cell r="C20">
            <v>40</v>
          </cell>
          <cell r="E20" t="str">
            <v>CHARQUEADAS</v>
          </cell>
          <cell r="F20">
            <v>40.277778625488281</v>
          </cell>
          <cell r="G20">
            <v>29</v>
          </cell>
        </row>
        <row r="21">
          <cell r="A21" t="str">
            <v>T.MARIAS</v>
          </cell>
          <cell r="B21">
            <v>86.363639831542969</v>
          </cell>
          <cell r="C21">
            <v>342</v>
          </cell>
          <cell r="E21" t="str">
            <v>J.LACERDA A</v>
          </cell>
          <cell r="F21">
            <v>57.327587127685547</v>
          </cell>
          <cell r="G21">
            <v>133</v>
          </cell>
        </row>
        <row r="22">
          <cell r="A22" t="str">
            <v>V.GRANDE</v>
          </cell>
          <cell r="B22">
            <v>100</v>
          </cell>
          <cell r="C22">
            <v>380</v>
          </cell>
          <cell r="E22" t="str">
            <v>J.LACERDA B</v>
          </cell>
          <cell r="F22">
            <v>95.419845581054688</v>
          </cell>
          <cell r="G22">
            <v>250</v>
          </cell>
        </row>
        <row r="23">
          <cell r="A23" t="str">
            <v>PUS CELG</v>
          </cell>
          <cell r="B23">
            <v>85.665336608886719</v>
          </cell>
          <cell r="C23">
            <v>15</v>
          </cell>
          <cell r="E23" t="str">
            <v>J.LACERDA C</v>
          </cell>
          <cell r="F23">
            <v>97.796142578125</v>
          </cell>
          <cell r="G23">
            <v>355</v>
          </cell>
        </row>
        <row r="24">
          <cell r="A24" t="str">
            <v>PCH CPFL</v>
          </cell>
          <cell r="B24">
            <v>49.151027679443359</v>
          </cell>
          <cell r="C24">
            <v>55</v>
          </cell>
          <cell r="E24" t="str">
            <v>W.ARJONA</v>
          </cell>
          <cell r="F24">
            <v>0</v>
          </cell>
          <cell r="G24">
            <v>0</v>
          </cell>
        </row>
        <row r="25">
          <cell r="A25" t="str">
            <v>PCH CERJ</v>
          </cell>
          <cell r="B25">
            <v>87.343437194824219</v>
          </cell>
          <cell r="C25">
            <v>53</v>
          </cell>
          <cell r="E25" t="str">
            <v>CAMAÇARI</v>
          </cell>
          <cell r="F25">
            <v>0</v>
          </cell>
          <cell r="G25">
            <v>0</v>
          </cell>
        </row>
        <row r="26">
          <cell r="A26" t="str">
            <v>A.VERMELHA</v>
          </cell>
          <cell r="B26">
            <v>89.413444519042969</v>
          </cell>
          <cell r="C26">
            <v>1250</v>
          </cell>
          <cell r="E26" t="str">
            <v>CUIABÁ</v>
          </cell>
          <cell r="F26">
            <v>0</v>
          </cell>
          <cell r="G26">
            <v>0</v>
          </cell>
        </row>
        <row r="27">
          <cell r="A27" t="str">
            <v>B.BONITA</v>
          </cell>
          <cell r="B27">
            <v>82.857139587402344</v>
          </cell>
          <cell r="C27">
            <v>116</v>
          </cell>
        </row>
        <row r="28">
          <cell r="A28" t="str">
            <v>BARIRI</v>
          </cell>
          <cell r="B28">
            <v>91.666664123535156</v>
          </cell>
          <cell r="C28">
            <v>132</v>
          </cell>
        </row>
        <row r="29">
          <cell r="A29" t="str">
            <v>CACONDE</v>
          </cell>
          <cell r="B29">
            <v>75</v>
          </cell>
          <cell r="C29">
            <v>60</v>
          </cell>
        </row>
        <row r="30">
          <cell r="A30" t="str">
            <v>CHAVANTES</v>
          </cell>
          <cell r="B30">
            <v>89.423080444335938</v>
          </cell>
          <cell r="C30">
            <v>372</v>
          </cell>
        </row>
        <row r="31">
          <cell r="A31" t="str">
            <v>CAPIVARA</v>
          </cell>
          <cell r="B31">
            <v>88.28125</v>
          </cell>
          <cell r="C31">
            <v>565</v>
          </cell>
        </row>
        <row r="32">
          <cell r="A32" t="str">
            <v>CANOAS I</v>
          </cell>
          <cell r="B32">
            <v>65.454544067382813</v>
          </cell>
          <cell r="C32">
            <v>54</v>
          </cell>
        </row>
        <row r="33">
          <cell r="A33" t="str">
            <v>CANOAS II</v>
          </cell>
          <cell r="B33">
            <v>102.04081726074219</v>
          </cell>
          <cell r="C33">
            <v>75</v>
          </cell>
        </row>
        <row r="34">
          <cell r="A34" t="str">
            <v>E.CUNHA</v>
          </cell>
          <cell r="B34">
            <v>88.888885498046875</v>
          </cell>
          <cell r="C34">
            <v>96</v>
          </cell>
        </row>
        <row r="35">
          <cell r="A35" t="str">
            <v>IBITINGA</v>
          </cell>
          <cell r="B35">
            <v>97.727272033691406</v>
          </cell>
          <cell r="C35">
            <v>129</v>
          </cell>
        </row>
        <row r="36">
          <cell r="A36" t="str">
            <v>I.SOLTEIRA</v>
          </cell>
          <cell r="B36">
            <v>90.185829162597656</v>
          </cell>
          <cell r="C36">
            <v>3106</v>
          </cell>
        </row>
        <row r="37">
          <cell r="A37" t="str">
            <v>JAGUARI</v>
          </cell>
          <cell r="B37">
            <v>71.428573608398438</v>
          </cell>
          <cell r="C37">
            <v>20</v>
          </cell>
        </row>
        <row r="38">
          <cell r="A38" t="str">
            <v>JUPIA</v>
          </cell>
          <cell r="B38">
            <v>87.674049377441406</v>
          </cell>
          <cell r="C38">
            <v>1360</v>
          </cell>
        </row>
        <row r="39">
          <cell r="A39" t="str">
            <v>JURUMIRIM</v>
          </cell>
          <cell r="B39">
            <v>91.83673095703125</v>
          </cell>
          <cell r="C39">
            <v>90</v>
          </cell>
        </row>
        <row r="40">
          <cell r="A40" t="str">
            <v>LIMOEIRO</v>
          </cell>
          <cell r="B40">
            <v>100</v>
          </cell>
          <cell r="C40">
            <v>32</v>
          </cell>
        </row>
        <row r="41">
          <cell r="A41" t="str">
            <v>N. AVANHAN</v>
          </cell>
          <cell r="B41">
            <v>99.30914306640625</v>
          </cell>
          <cell r="C41">
            <v>345</v>
          </cell>
        </row>
        <row r="42">
          <cell r="A42" t="str">
            <v>PARAIBUNA</v>
          </cell>
          <cell r="B42">
            <v>81.395347595214844</v>
          </cell>
          <cell r="C42">
            <v>70</v>
          </cell>
        </row>
        <row r="43">
          <cell r="A43" t="str">
            <v>PCH CESP</v>
          </cell>
          <cell r="B43">
            <v>0</v>
          </cell>
          <cell r="C43">
            <v>0</v>
          </cell>
          <cell r="F43">
            <v>9010</v>
          </cell>
          <cell r="G43">
            <v>1605</v>
          </cell>
        </row>
        <row r="44">
          <cell r="A44" t="str">
            <v>P.PRIMAVERA</v>
          </cell>
          <cell r="B44">
            <v>65.104171752929688</v>
          </cell>
          <cell r="C44">
            <v>525</v>
          </cell>
          <cell r="F44">
            <v>35336</v>
          </cell>
          <cell r="G44">
            <v>1454</v>
          </cell>
        </row>
        <row r="45">
          <cell r="A45" t="str">
            <v>PROMISSÃO</v>
          </cell>
          <cell r="B45">
            <v>96.590911865234375</v>
          </cell>
          <cell r="C45">
            <v>255</v>
          </cell>
        </row>
        <row r="46">
          <cell r="A46" t="str">
            <v>ROSANA</v>
          </cell>
          <cell r="B46">
            <v>98.655914306640625</v>
          </cell>
          <cell r="C46">
            <v>367</v>
          </cell>
          <cell r="F46">
            <v>3764</v>
          </cell>
          <cell r="G46" t="str">
            <v>-</v>
          </cell>
        </row>
        <row r="47">
          <cell r="A47" t="str">
            <v>S. GRANDE</v>
          </cell>
          <cell r="B47">
            <v>73.611114501953125</v>
          </cell>
          <cell r="C47">
            <v>53</v>
          </cell>
          <cell r="F47">
            <v>8230</v>
          </cell>
          <cell r="G47">
            <v>0</v>
          </cell>
        </row>
        <row r="48">
          <cell r="A48" t="str">
            <v>TAQUARUÇU</v>
          </cell>
          <cell r="B48">
            <v>80.505416870117188</v>
          </cell>
          <cell r="C48">
            <v>446</v>
          </cell>
        </row>
        <row r="49">
          <cell r="A49" t="str">
            <v>T.IRMÃOS</v>
          </cell>
          <cell r="B49">
            <v>80</v>
          </cell>
          <cell r="C49">
            <v>648</v>
          </cell>
        </row>
        <row r="50">
          <cell r="A50" t="str">
            <v>PUS CEMAT</v>
          </cell>
          <cell r="B50">
            <v>27.779096603393555</v>
          </cell>
          <cell r="C50">
            <v>117</v>
          </cell>
        </row>
        <row r="51">
          <cell r="A51" t="str">
            <v>MASCARENHAS</v>
          </cell>
          <cell r="B51">
            <v>102.36220550537109</v>
          </cell>
          <cell r="C51">
            <v>130</v>
          </cell>
        </row>
        <row r="52">
          <cell r="A52" t="str">
            <v>PCH ESCELSA (*)</v>
          </cell>
          <cell r="B52">
            <v>39.401103973388672</v>
          </cell>
          <cell r="C52">
            <v>55</v>
          </cell>
        </row>
        <row r="53">
          <cell r="A53" t="str">
            <v>H.BORDEN Ext</v>
          </cell>
          <cell r="B53">
            <v>85.501068115234375</v>
          </cell>
          <cell r="C53">
            <v>401</v>
          </cell>
        </row>
        <row r="54">
          <cell r="A54" t="str">
            <v>H.BORDEN Sub</v>
          </cell>
          <cell r="B54">
            <v>66.666664123535156</v>
          </cell>
          <cell r="C54">
            <v>280</v>
          </cell>
        </row>
        <row r="55">
          <cell r="A55" t="str">
            <v>PCH EPAULO</v>
          </cell>
          <cell r="B55">
            <v>41.067760467529297</v>
          </cell>
          <cell r="C55">
            <v>20</v>
          </cell>
        </row>
        <row r="56">
          <cell r="A56" t="str">
            <v>P.COLOMBIA</v>
          </cell>
          <cell r="B56">
            <v>97.56097412109375</v>
          </cell>
          <cell r="C56">
            <v>320</v>
          </cell>
        </row>
        <row r="57">
          <cell r="A57" t="str">
            <v>CORUMBÁ</v>
          </cell>
          <cell r="B57">
            <v>100</v>
          </cell>
          <cell r="C57">
            <v>375</v>
          </cell>
        </row>
        <row r="58">
          <cell r="A58" t="str">
            <v>FUNIL</v>
          </cell>
          <cell r="B58">
            <v>83.783782958984375</v>
          </cell>
          <cell r="C58">
            <v>186</v>
          </cell>
        </row>
        <row r="59">
          <cell r="A59" t="str">
            <v>FURNAS</v>
          </cell>
          <cell r="B59">
            <v>72.56097412109375</v>
          </cell>
          <cell r="C59">
            <v>952</v>
          </cell>
        </row>
        <row r="60">
          <cell r="A60" t="str">
            <v>ITUMBIARA</v>
          </cell>
          <cell r="B60">
            <v>65.789474487304688</v>
          </cell>
          <cell r="C60">
            <v>1500</v>
          </cell>
        </row>
        <row r="61">
          <cell r="A61" t="str">
            <v>ESTREITO</v>
          </cell>
          <cell r="B61">
            <v>95.108695983886719</v>
          </cell>
          <cell r="C61">
            <v>1050</v>
          </cell>
        </row>
        <row r="62">
          <cell r="A62" t="str">
            <v>M.MORAES</v>
          </cell>
          <cell r="B62">
            <v>89.121337890625</v>
          </cell>
          <cell r="C62">
            <v>426</v>
          </cell>
        </row>
        <row r="63">
          <cell r="A63" t="str">
            <v>MANSO</v>
          </cell>
          <cell r="B63">
            <v>45.714286804199219</v>
          </cell>
          <cell r="C63">
            <v>24</v>
          </cell>
        </row>
        <row r="64">
          <cell r="A64" t="str">
            <v>MARIMBONDO</v>
          </cell>
          <cell r="B64">
            <v>65.860214233398438</v>
          </cell>
          <cell r="C64">
            <v>980</v>
          </cell>
        </row>
        <row r="65">
          <cell r="A65" t="str">
            <v>SERRA MESA</v>
          </cell>
          <cell r="B65">
            <v>81.395347595214844</v>
          </cell>
          <cell r="C65">
            <v>1050</v>
          </cell>
        </row>
        <row r="66">
          <cell r="A66" t="str">
            <v>C.DOURADA</v>
          </cell>
          <cell r="B66">
            <v>81.306991577148438</v>
          </cell>
          <cell r="C66">
            <v>535</v>
          </cell>
        </row>
        <row r="67">
          <cell r="A67" t="str">
            <v>FONTES</v>
          </cell>
          <cell r="B67">
            <v>100</v>
          </cell>
          <cell r="C67">
            <v>132</v>
          </cell>
        </row>
        <row r="68">
          <cell r="A68" t="str">
            <v>I. POMBOS</v>
          </cell>
          <cell r="B68">
            <v>86.206893920898438</v>
          </cell>
          <cell r="C68">
            <v>150</v>
          </cell>
        </row>
        <row r="69">
          <cell r="A69" t="str">
            <v>N.PEÇANHA</v>
          </cell>
          <cell r="B69">
            <v>100</v>
          </cell>
          <cell r="C69">
            <v>380</v>
          </cell>
        </row>
        <row r="70">
          <cell r="A70" t="str">
            <v>P.PASSOS</v>
          </cell>
          <cell r="B70">
            <v>100</v>
          </cell>
          <cell r="C70">
            <v>100</v>
          </cell>
        </row>
        <row r="71">
          <cell r="A71" t="str">
            <v>S.BRANCA</v>
          </cell>
          <cell r="B71">
            <v>21.052631378173828</v>
          </cell>
          <cell r="C71">
            <v>12</v>
          </cell>
        </row>
        <row r="72">
          <cell r="A72" t="str">
            <v>PCH CEEE</v>
          </cell>
          <cell r="B72">
            <v>106.58307647705078</v>
          </cell>
          <cell r="C72">
            <v>34</v>
          </cell>
        </row>
        <row r="73">
          <cell r="A73" t="str">
            <v>CANASTRA</v>
          </cell>
          <cell r="B73">
            <v>79.545455932617188</v>
          </cell>
          <cell r="C73">
            <v>35</v>
          </cell>
        </row>
        <row r="74">
          <cell r="A74" t="str">
            <v>ITAUBA</v>
          </cell>
          <cell r="B74">
            <v>100</v>
          </cell>
          <cell r="C74">
            <v>500</v>
          </cell>
        </row>
        <row r="75">
          <cell r="A75" t="str">
            <v>JACUI</v>
          </cell>
          <cell r="B75">
            <v>100</v>
          </cell>
          <cell r="C75">
            <v>180</v>
          </cell>
        </row>
        <row r="76">
          <cell r="A76" t="str">
            <v>PASSO REAL</v>
          </cell>
          <cell r="B76">
            <v>100</v>
          </cell>
          <cell r="C76">
            <v>155</v>
          </cell>
        </row>
        <row r="77">
          <cell r="A77" t="str">
            <v>GBM</v>
          </cell>
          <cell r="B77">
            <v>99.820999145507813</v>
          </cell>
          <cell r="C77">
            <v>1673</v>
          </cell>
        </row>
        <row r="78">
          <cell r="A78" t="str">
            <v>GPS</v>
          </cell>
          <cell r="B78">
            <v>100</v>
          </cell>
          <cell r="C78">
            <v>260</v>
          </cell>
        </row>
        <row r="79">
          <cell r="A79" t="str">
            <v>PCH COPEL</v>
          </cell>
          <cell r="B79">
            <v>0</v>
          </cell>
          <cell r="C79">
            <v>101</v>
          </cell>
        </row>
        <row r="80">
          <cell r="A80" t="str">
            <v>S.CAXIAS</v>
          </cell>
          <cell r="B80">
            <v>100</v>
          </cell>
          <cell r="C80">
            <v>1240</v>
          </cell>
        </row>
        <row r="81">
          <cell r="A81" t="str">
            <v>SEGREDO</v>
          </cell>
          <cell r="B81">
            <v>87.698410034179688</v>
          </cell>
          <cell r="C81">
            <v>1105</v>
          </cell>
        </row>
        <row r="82">
          <cell r="A82" t="str">
            <v>ITÁ</v>
          </cell>
          <cell r="B82">
            <v>101.37931060791016</v>
          </cell>
          <cell r="C82">
            <v>1176</v>
          </cell>
        </row>
        <row r="83">
          <cell r="A83" t="str">
            <v>P.FUNDO</v>
          </cell>
          <cell r="B83">
            <v>100</v>
          </cell>
          <cell r="C83">
            <v>226</v>
          </cell>
        </row>
        <row r="84">
          <cell r="A84" t="str">
            <v>S.OSORIO</v>
          </cell>
          <cell r="B84">
            <v>76.058929443359375</v>
          </cell>
          <cell r="C84">
            <v>826</v>
          </cell>
        </row>
        <row r="85">
          <cell r="A85" t="str">
            <v>S.SANTIAGO</v>
          </cell>
          <cell r="B85">
            <v>100</v>
          </cell>
          <cell r="C85">
            <v>1420</v>
          </cell>
        </row>
        <row r="86">
          <cell r="A86" t="str">
            <v>PUS ENERSUL</v>
          </cell>
          <cell r="B86">
            <v>90.062110900878906</v>
          </cell>
          <cell r="C86">
            <v>29</v>
          </cell>
        </row>
        <row r="87">
          <cell r="A87" t="str">
            <v>PCH CELESC</v>
          </cell>
          <cell r="B87">
            <v>67.686470031738281</v>
          </cell>
          <cell r="C87">
            <v>50</v>
          </cell>
        </row>
        <row r="88">
          <cell r="A88" t="str">
            <v>ITAIPU 50 Hz</v>
          </cell>
          <cell r="B88">
            <v>88.206352233886719</v>
          </cell>
          <cell r="C88">
            <v>5557</v>
          </cell>
        </row>
        <row r="89">
          <cell r="A89" t="str">
            <v>ITAIPU 60 Hz</v>
          </cell>
          <cell r="B89">
            <v>90.158729553222656</v>
          </cell>
          <cell r="C89">
            <v>5680</v>
          </cell>
        </row>
        <row r="90">
          <cell r="A90" t="str">
            <v>PCH CHESF</v>
          </cell>
          <cell r="B90">
            <v>69.565216064453125</v>
          </cell>
          <cell r="C90">
            <v>40</v>
          </cell>
        </row>
        <row r="91">
          <cell r="A91" t="str">
            <v>APOLÔNIO SALLES</v>
          </cell>
          <cell r="B91">
            <v>75</v>
          </cell>
          <cell r="C91">
            <v>300</v>
          </cell>
        </row>
        <row r="92">
          <cell r="A92" t="str">
            <v>BOA ESPERANÇA</v>
          </cell>
          <cell r="B92">
            <v>100</v>
          </cell>
          <cell r="C92">
            <v>225</v>
          </cell>
        </row>
        <row r="93">
          <cell r="A93" t="str">
            <v>LUIS GONZAGA</v>
          </cell>
          <cell r="B93">
            <v>79</v>
          </cell>
          <cell r="C93">
            <v>1185</v>
          </cell>
        </row>
        <row r="94">
          <cell r="A94" t="str">
            <v>SOBRADINHO</v>
          </cell>
          <cell r="B94">
            <v>81.23809814453125</v>
          </cell>
          <cell r="C94">
            <v>853</v>
          </cell>
        </row>
        <row r="95">
          <cell r="A95" t="str">
            <v>P.AFONSO 1</v>
          </cell>
          <cell r="B95">
            <v>66.666664123535156</v>
          </cell>
          <cell r="C95">
            <v>120</v>
          </cell>
        </row>
        <row r="96">
          <cell r="A96" t="str">
            <v>P.AFONSO 2</v>
          </cell>
          <cell r="B96">
            <v>49.887641906738281</v>
          </cell>
          <cell r="C96">
            <v>222</v>
          </cell>
        </row>
        <row r="97">
          <cell r="A97" t="str">
            <v>P.AFONSO 3</v>
          </cell>
          <cell r="B97">
            <v>75</v>
          </cell>
          <cell r="C97">
            <v>600</v>
          </cell>
        </row>
        <row r="98">
          <cell r="A98" t="str">
            <v>P.AFONSO 4</v>
          </cell>
          <cell r="B98">
            <v>83.333335876464844</v>
          </cell>
          <cell r="C98">
            <v>2050</v>
          </cell>
        </row>
        <row r="99">
          <cell r="A99" t="str">
            <v>XINGÓ</v>
          </cell>
          <cell r="B99">
            <v>83.333335876464844</v>
          </cell>
          <cell r="C99">
            <v>2635</v>
          </cell>
        </row>
        <row r="100">
          <cell r="A100" t="str">
            <v>TUCURUI</v>
          </cell>
          <cell r="B100">
            <v>88</v>
          </cell>
          <cell r="C100">
            <v>3696</v>
          </cell>
        </row>
        <row r="101">
          <cell r="A101" t="str">
            <v>AUX. TUCURUI</v>
          </cell>
          <cell r="B101">
            <v>95</v>
          </cell>
          <cell r="C101">
            <v>38</v>
          </cell>
        </row>
        <row r="102">
          <cell r="A102" t="str">
            <v>CURUA-UNA</v>
          </cell>
          <cell r="B102">
            <v>100</v>
          </cell>
          <cell r="C102">
            <v>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9">
          <cell r="D9">
            <v>756.15</v>
          </cell>
          <cell r="E9">
            <v>23.6</v>
          </cell>
          <cell r="F9">
            <v>722</v>
          </cell>
          <cell r="G9">
            <v>722</v>
          </cell>
          <cell r="H9">
            <v>0</v>
          </cell>
        </row>
        <row r="10">
          <cell r="D10">
            <v>663.78</v>
          </cell>
          <cell r="E10">
            <v>77.87</v>
          </cell>
          <cell r="F10">
            <v>745</v>
          </cell>
          <cell r="G10">
            <v>798</v>
          </cell>
          <cell r="H10">
            <v>0</v>
          </cell>
        </row>
        <row r="11">
          <cell r="D11">
            <v>432.92</v>
          </cell>
          <cell r="E11">
            <v>20.239999999999998</v>
          </cell>
          <cell r="F11">
            <v>1412</v>
          </cell>
          <cell r="G11">
            <v>1734</v>
          </cell>
          <cell r="H11">
            <v>0</v>
          </cell>
        </row>
        <row r="12">
          <cell r="D12">
            <v>376.35</v>
          </cell>
          <cell r="E12">
            <v>25.03</v>
          </cell>
          <cell r="F12">
            <v>1933</v>
          </cell>
          <cell r="G12">
            <v>2146</v>
          </cell>
          <cell r="H12">
            <v>0</v>
          </cell>
        </row>
        <row r="13">
          <cell r="D13">
            <v>631</v>
          </cell>
          <cell r="E13">
            <v>23.97</v>
          </cell>
          <cell r="F13">
            <v>310</v>
          </cell>
          <cell r="G13">
            <v>197</v>
          </cell>
          <cell r="H13">
            <v>0</v>
          </cell>
        </row>
        <row r="14">
          <cell r="D14">
            <v>787.41</v>
          </cell>
          <cell r="E14">
            <v>18.62</v>
          </cell>
          <cell r="F14">
            <v>222</v>
          </cell>
          <cell r="G14">
            <v>199</v>
          </cell>
          <cell r="H14">
            <v>0</v>
          </cell>
        </row>
        <row r="15">
          <cell r="D15">
            <v>504.1</v>
          </cell>
          <cell r="E15">
            <v>25.18</v>
          </cell>
          <cell r="F15">
            <v>940</v>
          </cell>
          <cell r="G15">
            <v>1487</v>
          </cell>
          <cell r="H15">
            <v>0</v>
          </cell>
        </row>
        <row r="16">
          <cell r="D16">
            <v>396.26</v>
          </cell>
          <cell r="E16">
            <v>50.95</v>
          </cell>
          <cell r="F16">
            <v>2527</v>
          </cell>
          <cell r="G16">
            <v>2592</v>
          </cell>
          <cell r="H16">
            <v>0</v>
          </cell>
        </row>
        <row r="17">
          <cell r="D17">
            <v>324.64</v>
          </cell>
          <cell r="E17">
            <v>30.82</v>
          </cell>
          <cell r="F17">
            <v>5563</v>
          </cell>
          <cell r="G17">
            <v>5686</v>
          </cell>
          <cell r="H17">
            <v>0</v>
          </cell>
        </row>
        <row r="18">
          <cell r="D18">
            <v>279.72000000000003</v>
          </cell>
          <cell r="E18">
            <v>89.86</v>
          </cell>
          <cell r="F18">
            <v>7209</v>
          </cell>
          <cell r="G18">
            <v>7134</v>
          </cell>
          <cell r="H18">
            <v>0</v>
          </cell>
        </row>
        <row r="19">
          <cell r="D19">
            <v>220.24</v>
          </cell>
          <cell r="E19">
            <v>0</v>
          </cell>
          <cell r="F19">
            <v>13952</v>
          </cell>
          <cell r="G19">
            <v>15054</v>
          </cell>
          <cell r="H19">
            <v>4924</v>
          </cell>
        </row>
        <row r="20">
          <cell r="D20">
            <v>447.86</v>
          </cell>
          <cell r="E20">
            <v>60.45</v>
          </cell>
          <cell r="F20">
            <v>546</v>
          </cell>
          <cell r="G20">
            <v>661</v>
          </cell>
          <cell r="H20">
            <v>32</v>
          </cell>
        </row>
        <row r="21">
          <cell r="D21">
            <v>382.59</v>
          </cell>
          <cell r="E21">
            <v>65.64</v>
          </cell>
          <cell r="F21">
            <v>971</v>
          </cell>
          <cell r="G21">
            <v>795</v>
          </cell>
          <cell r="H21">
            <v>0</v>
          </cell>
        </row>
        <row r="22">
          <cell r="D22">
            <v>324.76</v>
          </cell>
          <cell r="E22">
            <v>32.94</v>
          </cell>
          <cell r="F22">
            <v>615</v>
          </cell>
          <cell r="G22">
            <v>692</v>
          </cell>
          <cell r="H22">
            <v>0</v>
          </cell>
        </row>
        <row r="23">
          <cell r="D23">
            <v>564.70000000000005</v>
          </cell>
          <cell r="E23">
            <v>56.27</v>
          </cell>
          <cell r="F23">
            <v>183</v>
          </cell>
          <cell r="G23">
            <v>93</v>
          </cell>
          <cell r="H23">
            <v>0</v>
          </cell>
        </row>
        <row r="24">
          <cell r="D24">
            <v>469.02</v>
          </cell>
          <cell r="E24">
            <v>39.51</v>
          </cell>
          <cell r="F24">
            <v>223</v>
          </cell>
          <cell r="G24">
            <v>184</v>
          </cell>
          <cell r="H24">
            <v>0</v>
          </cell>
        </row>
        <row r="25">
          <cell r="D25">
            <v>330.43</v>
          </cell>
          <cell r="E25">
            <v>66.7</v>
          </cell>
          <cell r="F25">
            <v>1219</v>
          </cell>
          <cell r="G25">
            <v>1332</v>
          </cell>
          <cell r="H25">
            <v>0</v>
          </cell>
        </row>
        <row r="26">
          <cell r="D26">
            <v>741.12</v>
          </cell>
          <cell r="E26">
            <v>96.85</v>
          </cell>
          <cell r="F26">
            <v>1143</v>
          </cell>
          <cell r="G26">
            <v>1033</v>
          </cell>
          <cell r="H26">
            <v>0</v>
          </cell>
        </row>
        <row r="27">
          <cell r="D27">
            <v>505.72</v>
          </cell>
          <cell r="E27">
            <v>98.58</v>
          </cell>
          <cell r="F27">
            <v>1222</v>
          </cell>
          <cell r="G27">
            <v>1006</v>
          </cell>
          <cell r="H27">
            <v>0</v>
          </cell>
        </row>
        <row r="28">
          <cell r="D28">
            <v>561.01</v>
          </cell>
          <cell r="E28">
            <v>38</v>
          </cell>
          <cell r="F28">
            <v>357</v>
          </cell>
          <cell r="G28">
            <v>586</v>
          </cell>
        </row>
        <row r="29">
          <cell r="D29">
            <v>387.54</v>
          </cell>
          <cell r="E29">
            <v>43.03</v>
          </cell>
          <cell r="F29">
            <v>2850</v>
          </cell>
          <cell r="G29">
            <v>2076</v>
          </cell>
          <cell r="H29">
            <v>0</v>
          </cell>
        </row>
        <row r="30">
          <cell r="D30">
            <v>301.8</v>
          </cell>
          <cell r="E30">
            <v>52.42</v>
          </cell>
          <cell r="F30">
            <v>1684</v>
          </cell>
          <cell r="G30">
            <v>2019</v>
          </cell>
          <cell r="H30">
            <v>0</v>
          </cell>
        </row>
        <row r="31">
          <cell r="D31">
            <v>440.3</v>
          </cell>
          <cell r="E31">
            <v>37.630000000000003</v>
          </cell>
          <cell r="F31">
            <v>453</v>
          </cell>
          <cell r="G31">
            <v>1078</v>
          </cell>
          <cell r="H31">
            <v>0</v>
          </cell>
        </row>
        <row r="32">
          <cell r="D32">
            <v>71.14</v>
          </cell>
          <cell r="E32">
            <v>94.57</v>
          </cell>
          <cell r="F32">
            <v>14535</v>
          </cell>
          <cell r="G32">
            <v>13783</v>
          </cell>
        </row>
      </sheetData>
      <sheetData sheetId="15">
        <row r="58">
          <cell r="H58">
            <v>-1.0867000000000004</v>
          </cell>
        </row>
        <row r="59">
          <cell r="H59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98"/>
  <sheetViews>
    <sheetView tabSelected="1" zoomScaleNormal="100" workbookViewId="0">
      <selection sqref="A1:R1"/>
    </sheetView>
  </sheetViews>
  <sheetFormatPr defaultRowHeight="12.75" x14ac:dyDescent="0.2"/>
  <cols>
    <col min="1" max="1" width="17.85546875" customWidth="1"/>
    <col min="2" max="2" width="9.5703125" customWidth="1"/>
    <col min="3" max="3" width="9.85546875" bestFit="1" customWidth="1"/>
    <col min="4" max="4" width="9.85546875" customWidth="1"/>
    <col min="5" max="5" width="5.28515625" customWidth="1"/>
    <col min="6" max="6" width="12" customWidth="1"/>
    <col min="7" max="7" width="12.42578125" customWidth="1"/>
    <col min="8" max="13" width="9.28515625" customWidth="1"/>
    <col min="14" max="14" width="4.5703125" customWidth="1"/>
    <col min="15" max="18" width="9.28515625" customWidth="1"/>
  </cols>
  <sheetData>
    <row r="1" spans="1:18" s="3" customFormat="1" x14ac:dyDescent="0.2">
      <c r="A1" s="406" t="s">
        <v>277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8"/>
    </row>
    <row r="2" spans="1:18" s="3" customFormat="1" ht="16.5" customHeight="1" thickBot="1" x14ac:dyDescent="0.25">
      <c r="A2" s="409" t="s">
        <v>280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1"/>
    </row>
    <row r="3" spans="1:18" s="3" customFormat="1" ht="12" customHeight="1" x14ac:dyDescent="0.2"/>
    <row r="4" spans="1:18" ht="12" customHeight="1" thickBot="1" x14ac:dyDescent="0.25"/>
    <row r="5" spans="1:18" ht="12" customHeight="1" thickBot="1" x14ac:dyDescent="0.25">
      <c r="A5" s="169" t="s">
        <v>257</v>
      </c>
      <c r="B5" s="170"/>
      <c r="C5" s="170"/>
      <c r="D5" s="171"/>
      <c r="F5" s="142" t="s">
        <v>232</v>
      </c>
      <c r="G5" s="143"/>
      <c r="H5" s="143"/>
      <c r="I5" s="143"/>
      <c r="J5" s="143"/>
      <c r="K5" s="143"/>
      <c r="L5" s="143"/>
      <c r="M5" s="144"/>
      <c r="O5" s="141" t="s">
        <v>234</v>
      </c>
      <c r="P5" s="19"/>
      <c r="Q5" s="19"/>
      <c r="R5" s="20"/>
    </row>
    <row r="6" spans="1:18" s="1" customFormat="1" ht="12" customHeight="1" thickBot="1" x14ac:dyDescent="0.25">
      <c r="A6" s="167"/>
      <c r="B6" s="55"/>
      <c r="C6" s="55"/>
      <c r="D6" s="168"/>
      <c r="F6" s="178" t="s">
        <v>169</v>
      </c>
      <c r="G6" s="183"/>
      <c r="H6" s="179" t="s">
        <v>159</v>
      </c>
      <c r="I6" s="186" t="s">
        <v>3</v>
      </c>
      <c r="J6" s="415" t="s">
        <v>161</v>
      </c>
      <c r="K6" s="415"/>
      <c r="L6" s="415"/>
      <c r="M6" s="416"/>
      <c r="O6" s="24"/>
      <c r="P6" s="25"/>
      <c r="Q6" s="25"/>
      <c r="R6" s="23"/>
    </row>
    <row r="7" spans="1:18" s="1" customFormat="1" ht="12" customHeight="1" thickBot="1" x14ac:dyDescent="0.25">
      <c r="A7" s="412" t="s">
        <v>176</v>
      </c>
      <c r="B7" s="413"/>
      <c r="C7" s="413"/>
      <c r="D7" s="414"/>
      <c r="F7" s="180"/>
      <c r="G7" s="184"/>
      <c r="H7" s="185" t="s">
        <v>175</v>
      </c>
      <c r="I7" s="187" t="s">
        <v>167</v>
      </c>
      <c r="J7" s="181" t="s">
        <v>162</v>
      </c>
      <c r="K7" s="181" t="s">
        <v>163</v>
      </c>
      <c r="L7" s="181" t="s">
        <v>218</v>
      </c>
      <c r="M7" s="182" t="s">
        <v>168</v>
      </c>
      <c r="O7" s="417" t="s">
        <v>148</v>
      </c>
      <c r="P7" s="418"/>
      <c r="Q7" s="418"/>
      <c r="R7" s="419"/>
    </row>
    <row r="8" spans="1:18" s="1" customFormat="1" ht="12" customHeight="1" thickBot="1" x14ac:dyDescent="0.25">
      <c r="A8" s="107" t="s">
        <v>139</v>
      </c>
      <c r="B8" s="122" t="s">
        <v>179</v>
      </c>
      <c r="C8" s="123" t="s">
        <v>140</v>
      </c>
      <c r="D8" s="124" t="s">
        <v>141</v>
      </c>
      <c r="F8" s="173" t="s">
        <v>137</v>
      </c>
      <c r="G8" s="194"/>
      <c r="H8" s="127"/>
      <c r="I8" s="127"/>
      <c r="J8" s="6"/>
      <c r="K8" s="6"/>
      <c r="L8" s="6"/>
      <c r="M8" s="8"/>
      <c r="O8" s="222" t="s">
        <v>149</v>
      </c>
      <c r="P8" s="224">
        <v>1999</v>
      </c>
      <c r="Q8" s="224">
        <v>2000</v>
      </c>
      <c r="R8" s="221" t="s">
        <v>158</v>
      </c>
    </row>
    <row r="9" spans="1:18" s="1" customFormat="1" ht="12" customHeight="1" x14ac:dyDescent="0.2">
      <c r="A9" s="114" t="s">
        <v>143</v>
      </c>
      <c r="B9" s="119">
        <f>'[1]1-Balanço Energético '!$B$8</f>
        <v>15494</v>
      </c>
      <c r="C9" s="120">
        <f>'[1]1-Balanço Energético '!$C$8</f>
        <v>16627.245833333338</v>
      </c>
      <c r="D9" s="121">
        <f t="shared" ref="D9:D14" si="0">IF((OR(B9=0,AND(B9&lt;0,C9&gt;0),AND(B9&gt;0,C9&lt;0))),"n/m",((C9-B9)/B9)*100)</f>
        <v>7.3140947033260488</v>
      </c>
      <c r="F9" s="205" t="s">
        <v>4</v>
      </c>
      <c r="G9" s="206" t="s">
        <v>5</v>
      </c>
      <c r="H9" s="188">
        <f>'[1]8-Acomp. Hidrologia'!D9</f>
        <v>756.15</v>
      </c>
      <c r="I9" s="188">
        <f>'[1]8-Acomp. Hidrologia'!E9</f>
        <v>23.6</v>
      </c>
      <c r="J9" s="188">
        <f>'[1]8-Acomp. Hidrologia'!F9</f>
        <v>722</v>
      </c>
      <c r="K9" s="188">
        <f>'[1]8-Acomp. Hidrologia'!G9</f>
        <v>722</v>
      </c>
      <c r="L9" s="191">
        <f>J9-K9</f>
        <v>0</v>
      </c>
      <c r="M9" s="188">
        <f>'[1]8-Acomp. Hidrologia'!H9</f>
        <v>0</v>
      </c>
      <c r="O9" s="163" t="s">
        <v>132</v>
      </c>
      <c r="P9" s="16">
        <v>57.6</v>
      </c>
      <c r="Q9" s="16">
        <v>30.62</v>
      </c>
      <c r="R9" s="13">
        <f t="shared" ref="R9:R20" si="1">(Q9-P9)/P9</f>
        <v>-0.46840277777777778</v>
      </c>
    </row>
    <row r="10" spans="1:18" s="1" customFormat="1" ht="12" customHeight="1" x14ac:dyDescent="0.2">
      <c r="A10" s="115" t="s">
        <v>144</v>
      </c>
      <c r="B10" s="108">
        <f>'[1]1-Balanço Energético '!$B$9</f>
        <v>836</v>
      </c>
      <c r="C10" s="109">
        <f>'[1]1-Balanço Energético '!$C$9</f>
        <v>780</v>
      </c>
      <c r="D10" s="110">
        <f t="shared" si="0"/>
        <v>-6.6985645933014357</v>
      </c>
      <c r="F10" s="207"/>
      <c r="G10" s="208" t="s">
        <v>6</v>
      </c>
      <c r="H10" s="189">
        <f>'[1]8-Acomp. Hidrologia'!D10</f>
        <v>663.78</v>
      </c>
      <c r="I10" s="189">
        <f>'[1]8-Acomp. Hidrologia'!E10</f>
        <v>77.87</v>
      </c>
      <c r="J10" s="189">
        <f>'[1]8-Acomp. Hidrologia'!F10</f>
        <v>745</v>
      </c>
      <c r="K10" s="189">
        <f>'[1]8-Acomp. Hidrologia'!G10</f>
        <v>798</v>
      </c>
      <c r="L10" s="192">
        <f t="shared" ref="L10:L25" si="2">J10-K10</f>
        <v>-53</v>
      </c>
      <c r="M10" s="189">
        <f>'[1]8-Acomp. Hidrologia'!H10</f>
        <v>0</v>
      </c>
      <c r="O10" s="163" t="s">
        <v>150</v>
      </c>
      <c r="P10" s="16">
        <v>61</v>
      </c>
      <c r="Q10" s="16">
        <v>45.167235768550924</v>
      </c>
      <c r="R10" s="13">
        <f t="shared" si="1"/>
        <v>-0.25955351199096843</v>
      </c>
    </row>
    <row r="11" spans="1:18" s="1" customFormat="1" ht="12" customHeight="1" x14ac:dyDescent="0.2">
      <c r="A11" s="115" t="s">
        <v>145</v>
      </c>
      <c r="B11" s="108">
        <f>'[1]1-Balanço Energético '!$B$10</f>
        <v>600</v>
      </c>
      <c r="C11" s="109">
        <f>'[1]1-Balanço Energético '!$C$10</f>
        <v>574</v>
      </c>
      <c r="D11" s="110">
        <f t="shared" si="0"/>
        <v>-4.3333333333333339</v>
      </c>
      <c r="F11" s="207"/>
      <c r="G11" s="208" t="s">
        <v>7</v>
      </c>
      <c r="H11" s="189">
        <f>'[1]8-Acomp. Hidrologia'!D11</f>
        <v>432.92</v>
      </c>
      <c r="I11" s="189">
        <f>'[1]8-Acomp. Hidrologia'!E11</f>
        <v>20.239999999999998</v>
      </c>
      <c r="J11" s="189">
        <f>'[1]8-Acomp. Hidrologia'!F11</f>
        <v>1412</v>
      </c>
      <c r="K11" s="189">
        <f>'[1]8-Acomp. Hidrologia'!G11</f>
        <v>1734</v>
      </c>
      <c r="L11" s="192">
        <f t="shared" si="2"/>
        <v>-322</v>
      </c>
      <c r="M11" s="189">
        <f>'[1]8-Acomp. Hidrologia'!H11</f>
        <v>0</v>
      </c>
      <c r="O11" s="163" t="s">
        <v>133</v>
      </c>
      <c r="P11" s="16">
        <v>71.2</v>
      </c>
      <c r="Q11" s="16">
        <v>58.049190536949681</v>
      </c>
      <c r="R11" s="13">
        <f t="shared" si="1"/>
        <v>-0.18470238009902137</v>
      </c>
    </row>
    <row r="12" spans="1:18" s="1" customFormat="1" ht="12" customHeight="1" x14ac:dyDescent="0.2">
      <c r="A12" s="115" t="s">
        <v>146</v>
      </c>
      <c r="B12" s="108">
        <f>SUM(B9:B11)</f>
        <v>16930</v>
      </c>
      <c r="C12" s="109">
        <f>SUM(C9:C11)</f>
        <v>17981.245833333338</v>
      </c>
      <c r="D12" s="110">
        <f t="shared" si="0"/>
        <v>6.2093670013782516</v>
      </c>
      <c r="F12" s="207"/>
      <c r="G12" s="208" t="s">
        <v>8</v>
      </c>
      <c r="H12" s="189">
        <f>'[1]8-Acomp. Hidrologia'!D12</f>
        <v>376.35</v>
      </c>
      <c r="I12" s="189">
        <f>'[1]8-Acomp. Hidrologia'!E12</f>
        <v>25.03</v>
      </c>
      <c r="J12" s="189">
        <f>'[1]8-Acomp. Hidrologia'!F12</f>
        <v>1933</v>
      </c>
      <c r="K12" s="189">
        <f>'[1]8-Acomp. Hidrologia'!G12</f>
        <v>2146</v>
      </c>
      <c r="L12" s="192">
        <f t="shared" si="2"/>
        <v>-213</v>
      </c>
      <c r="M12" s="189">
        <f>'[1]8-Acomp. Hidrologia'!H12</f>
        <v>0</v>
      </c>
      <c r="O12" s="163" t="s">
        <v>151</v>
      </c>
      <c r="P12" s="16">
        <v>70.400000000000006</v>
      </c>
      <c r="Q12" s="16">
        <v>57.989402647874797</v>
      </c>
      <c r="R12" s="13">
        <f t="shared" si="1"/>
        <v>-0.17628689420632396</v>
      </c>
    </row>
    <row r="13" spans="1:18" s="1" customFormat="1" ht="12" customHeight="1" x14ac:dyDescent="0.2">
      <c r="A13" s="115" t="s">
        <v>2</v>
      </c>
      <c r="B13" s="108">
        <f>'[1]1-Balanço Energético '!$B$12+'[1]1-Balanço Energético '!$G$11</f>
        <v>9563</v>
      </c>
      <c r="C13" s="109">
        <f>'[1]1-Balanço Energético '!$C$12+'[1]1-Balanço Energético '!$H$11</f>
        <v>9255.9208333333336</v>
      </c>
      <c r="D13" s="110">
        <f t="shared" si="0"/>
        <v>-3.2111175014814015</v>
      </c>
      <c r="F13" s="209" t="s">
        <v>9</v>
      </c>
      <c r="G13" s="208" t="s">
        <v>10</v>
      </c>
      <c r="H13" s="189">
        <f>'[1]8-Acomp. Hidrologia'!D13</f>
        <v>631</v>
      </c>
      <c r="I13" s="189">
        <f>'[1]8-Acomp. Hidrologia'!E13</f>
        <v>23.97</v>
      </c>
      <c r="J13" s="189">
        <f>'[1]8-Acomp. Hidrologia'!F13</f>
        <v>310</v>
      </c>
      <c r="K13" s="189">
        <f>'[1]8-Acomp. Hidrologia'!G13</f>
        <v>197</v>
      </c>
      <c r="L13" s="192">
        <f t="shared" si="2"/>
        <v>113</v>
      </c>
      <c r="M13" s="189">
        <f>'[1]8-Acomp. Hidrologia'!H13</f>
        <v>0</v>
      </c>
      <c r="O13" s="163" t="s">
        <v>152</v>
      </c>
      <c r="P13" s="16">
        <v>65.3</v>
      </c>
      <c r="Q13" s="16">
        <v>52.41</v>
      </c>
      <c r="R13" s="13">
        <f t="shared" si="1"/>
        <v>-0.19739663093415008</v>
      </c>
    </row>
    <row r="14" spans="1:18" s="1" customFormat="1" ht="12" customHeight="1" x14ac:dyDescent="0.2">
      <c r="A14" s="116" t="s">
        <v>147</v>
      </c>
      <c r="B14" s="108">
        <f>'[1]1-Balanço Energético '!$B$13</f>
        <v>27841</v>
      </c>
      <c r="C14" s="109">
        <f>'[1]1-Balanço Energético '!$C$13</f>
        <v>28388.537500000002</v>
      </c>
      <c r="D14" s="110">
        <f t="shared" si="0"/>
        <v>1.9666588843791608</v>
      </c>
      <c r="F14" s="210"/>
      <c r="G14" s="208" t="s">
        <v>11</v>
      </c>
      <c r="H14" s="189">
        <f>'[1]8-Acomp. Hidrologia'!D14</f>
        <v>787.41</v>
      </c>
      <c r="I14" s="189">
        <f>'[1]8-Acomp. Hidrologia'!E14</f>
        <v>18.62</v>
      </c>
      <c r="J14" s="189">
        <f>'[1]8-Acomp. Hidrologia'!F14</f>
        <v>222</v>
      </c>
      <c r="K14" s="189">
        <f>'[1]8-Acomp. Hidrologia'!G14</f>
        <v>199</v>
      </c>
      <c r="L14" s="192">
        <f t="shared" si="2"/>
        <v>23</v>
      </c>
      <c r="M14" s="189">
        <f>'[1]8-Acomp. Hidrologia'!H14</f>
        <v>0</v>
      </c>
      <c r="O14" s="163" t="s">
        <v>134</v>
      </c>
      <c r="P14" s="16">
        <v>61.4</v>
      </c>
      <c r="Q14" s="16">
        <v>46.16</v>
      </c>
      <c r="R14" s="13">
        <f t="shared" si="1"/>
        <v>-0.24820846905537464</v>
      </c>
    </row>
    <row r="15" spans="1:18" s="1" customFormat="1" ht="12" customHeight="1" x14ac:dyDescent="0.2">
      <c r="A15" s="117" t="s">
        <v>219</v>
      </c>
      <c r="B15" s="108">
        <f>'[1]1-Balanço Energético '!$G$11+'[1]1-Balanço Energético '!$B$14</f>
        <v>-817</v>
      </c>
      <c r="C15" s="109">
        <f>'[1]1-Balanço Energético '!$H$11+'[1]1-Balanço Energético '!$C$14</f>
        <v>-705.19583333333139</v>
      </c>
      <c r="D15" s="110">
        <f>IF((OR(B15=0,AND(B15&lt;0,C15&gt;0),AND(B15&gt;0,C15&lt;0))),"n/m",((C15-B15)/B15)*100)</f>
        <v>-13.684720522236059</v>
      </c>
      <c r="F15" s="210"/>
      <c r="G15" s="208" t="s">
        <v>12</v>
      </c>
      <c r="H15" s="189">
        <f>'[1]8-Acomp. Hidrologia'!D15</f>
        <v>504.1</v>
      </c>
      <c r="I15" s="189">
        <f>'[1]8-Acomp. Hidrologia'!E15</f>
        <v>25.18</v>
      </c>
      <c r="J15" s="189">
        <f>'[1]8-Acomp. Hidrologia'!F15</f>
        <v>940</v>
      </c>
      <c r="K15" s="189">
        <f>'[1]8-Acomp. Hidrologia'!G15</f>
        <v>1487</v>
      </c>
      <c r="L15" s="192">
        <f t="shared" si="2"/>
        <v>-547</v>
      </c>
      <c r="M15" s="189">
        <f>'[1]8-Acomp. Hidrologia'!H15</f>
        <v>0</v>
      </c>
      <c r="O15" s="163" t="s">
        <v>135</v>
      </c>
      <c r="P15" s="16">
        <v>57</v>
      </c>
      <c r="Q15" s="16">
        <v>40.479999999999997</v>
      </c>
      <c r="R15" s="13">
        <f t="shared" si="1"/>
        <v>-0.28982456140350882</v>
      </c>
    </row>
    <row r="16" spans="1:18" s="1" customFormat="1" ht="12" customHeight="1" x14ac:dyDescent="0.2">
      <c r="A16" s="117" t="s">
        <v>220</v>
      </c>
      <c r="B16" s="108">
        <f>'[1]1-Balanço Energético '!$B$15</f>
        <v>-531</v>
      </c>
      <c r="C16" s="109">
        <f>'[1]1-Balanço Energético '!$C$15</f>
        <v>-446.17500000000001</v>
      </c>
      <c r="D16" s="110">
        <f>IF((OR(B16=0,AND(B16&lt;0,C16&gt;0),AND(B16&gt;0,C16&lt;0))),"n/m",((C16-B16)/B16)*100)</f>
        <v>-15.974576271186439</v>
      </c>
      <c r="F16" s="210"/>
      <c r="G16" s="208" t="s">
        <v>13</v>
      </c>
      <c r="H16" s="189">
        <f>'[1]8-Acomp. Hidrologia'!D16</f>
        <v>396.26</v>
      </c>
      <c r="I16" s="189">
        <f>'[1]8-Acomp. Hidrologia'!E16</f>
        <v>50.95</v>
      </c>
      <c r="J16" s="189">
        <f>'[1]8-Acomp. Hidrologia'!F16</f>
        <v>2527</v>
      </c>
      <c r="K16" s="189">
        <f>'[1]8-Acomp. Hidrologia'!G16</f>
        <v>2592</v>
      </c>
      <c r="L16" s="192">
        <f t="shared" si="2"/>
        <v>-65</v>
      </c>
      <c r="M16" s="189">
        <f>'[1]8-Acomp. Hidrologia'!H16</f>
        <v>0</v>
      </c>
      <c r="O16" s="163" t="s">
        <v>153</v>
      </c>
      <c r="P16" s="16">
        <v>47.4</v>
      </c>
      <c r="Q16" s="16">
        <v>33.49</v>
      </c>
      <c r="R16" s="13">
        <f t="shared" si="1"/>
        <v>-0.29345991561181428</v>
      </c>
    </row>
    <row r="17" spans="1:18" s="1" customFormat="1" ht="12" customHeight="1" thickBot="1" x14ac:dyDescent="0.25">
      <c r="A17" s="118" t="s">
        <v>221</v>
      </c>
      <c r="B17" s="111">
        <f>'[1]1-Balanço Energético '!$B$16</f>
        <v>0</v>
      </c>
      <c r="C17" s="112">
        <f>'[1]1-Balanço Energético '!$C$16</f>
        <v>1.3073986337985843E-12</v>
      </c>
      <c r="D17" s="113" t="str">
        <f>IF((OR(B17=0,AND(B17&lt;0,C17&gt;0),AND(B17&gt;0,C17&lt;0))),"n/m",((C17-B17)/B17)*100)</f>
        <v>n/m</v>
      </c>
      <c r="F17" s="209" t="s">
        <v>14</v>
      </c>
      <c r="G17" s="208" t="s">
        <v>15</v>
      </c>
      <c r="H17" s="189">
        <f>'[1]8-Acomp. Hidrologia'!D17</f>
        <v>324.64</v>
      </c>
      <c r="I17" s="189">
        <f>'[1]8-Acomp. Hidrologia'!E17</f>
        <v>30.82</v>
      </c>
      <c r="J17" s="189">
        <f>'[1]8-Acomp. Hidrologia'!F17</f>
        <v>5563</v>
      </c>
      <c r="K17" s="189">
        <f>'[1]8-Acomp. Hidrologia'!G17</f>
        <v>5686</v>
      </c>
      <c r="L17" s="192">
        <f t="shared" si="2"/>
        <v>-123</v>
      </c>
      <c r="M17" s="189">
        <f>'[1]8-Acomp. Hidrologia'!H17</f>
        <v>0</v>
      </c>
      <c r="O17" s="163" t="s">
        <v>154</v>
      </c>
      <c r="P17" s="16">
        <v>39</v>
      </c>
      <c r="Q17" s="16">
        <v>35.26</v>
      </c>
      <c r="R17" s="13">
        <f t="shared" si="1"/>
        <v>-9.5897435897435948E-2</v>
      </c>
    </row>
    <row r="18" spans="1:18" s="1" customFormat="1" ht="12" customHeight="1" x14ac:dyDescent="0.2">
      <c r="A18" s="29"/>
      <c r="B18" s="104" t="str">
        <f>IF(ABS(B12+B13-B14-B15-B16)&gt;2,"Check","")</f>
        <v/>
      </c>
      <c r="C18" s="104" t="str">
        <f>IF(ABS(C12+C13-C14-C15-C16)&gt;2,"Check","")</f>
        <v/>
      </c>
      <c r="D18" s="14"/>
      <c r="F18" s="209"/>
      <c r="G18" s="208" t="s">
        <v>16</v>
      </c>
      <c r="H18" s="189">
        <f>'[1]8-Acomp. Hidrologia'!D18</f>
        <v>279.72000000000003</v>
      </c>
      <c r="I18" s="189">
        <f>'[1]8-Acomp. Hidrologia'!E18</f>
        <v>89.86</v>
      </c>
      <c r="J18" s="189">
        <f>'[1]8-Acomp. Hidrologia'!F18</f>
        <v>7209</v>
      </c>
      <c r="K18" s="189">
        <f>'[1]8-Acomp. Hidrologia'!G18</f>
        <v>7134</v>
      </c>
      <c r="L18" s="192">
        <f t="shared" si="2"/>
        <v>75</v>
      </c>
      <c r="M18" s="189">
        <f>'[1]8-Acomp. Hidrologia'!H18</f>
        <v>0</v>
      </c>
      <c r="O18" s="163" t="s">
        <v>155</v>
      </c>
      <c r="P18" s="16">
        <v>30.6</v>
      </c>
      <c r="Q18" s="16">
        <v>28.99</v>
      </c>
      <c r="R18" s="13">
        <f t="shared" si="1"/>
        <v>-5.2614379084967418E-2</v>
      </c>
    </row>
    <row r="19" spans="1:18" s="1" customFormat="1" ht="12" customHeight="1" thickBot="1" x14ac:dyDescent="0.25">
      <c r="A19" s="412" t="s">
        <v>177</v>
      </c>
      <c r="B19" s="413"/>
      <c r="C19" s="413"/>
      <c r="D19" s="414"/>
      <c r="F19" s="209"/>
      <c r="G19" s="208" t="s">
        <v>17</v>
      </c>
      <c r="H19" s="189">
        <f>'[1]8-Acomp. Hidrologia'!D19</f>
        <v>220.24</v>
      </c>
      <c r="I19" s="189">
        <f>'[1]8-Acomp. Hidrologia'!E19</f>
        <v>0</v>
      </c>
      <c r="J19" s="189">
        <f>'[1]8-Acomp. Hidrologia'!F19</f>
        <v>13952</v>
      </c>
      <c r="K19" s="189">
        <f>'[1]8-Acomp. Hidrologia'!G19</f>
        <v>15054</v>
      </c>
      <c r="L19" s="192">
        <f t="shared" si="2"/>
        <v>-1102</v>
      </c>
      <c r="M19" s="189">
        <f>'[1]8-Acomp. Hidrologia'!H19</f>
        <v>4924</v>
      </c>
      <c r="O19" s="163" t="s">
        <v>136</v>
      </c>
      <c r="P19" s="16">
        <v>23.6</v>
      </c>
      <c r="Q19" s="16">
        <v>27.902083762916124</v>
      </c>
      <c r="R19" s="13">
        <f t="shared" si="1"/>
        <v>0.18229168486932723</v>
      </c>
    </row>
    <row r="20" spans="1:18" s="1" customFormat="1" ht="12" customHeight="1" thickBot="1" x14ac:dyDescent="0.25">
      <c r="A20" s="107" t="s">
        <v>139</v>
      </c>
      <c r="B20" s="133" t="s">
        <v>179</v>
      </c>
      <c r="C20" s="123" t="s">
        <v>140</v>
      </c>
      <c r="D20" s="124" t="s">
        <v>141</v>
      </c>
      <c r="F20" s="209" t="s">
        <v>18</v>
      </c>
      <c r="G20" s="208" t="s">
        <v>19</v>
      </c>
      <c r="H20" s="189">
        <f>'[1]8-Acomp. Hidrologia'!D20</f>
        <v>447.86</v>
      </c>
      <c r="I20" s="189">
        <f>'[1]8-Acomp. Hidrologia'!E20</f>
        <v>60.45</v>
      </c>
      <c r="J20" s="189">
        <f>'[1]8-Acomp. Hidrologia'!F20</f>
        <v>546</v>
      </c>
      <c r="K20" s="189">
        <f>'[1]8-Acomp. Hidrologia'!G20</f>
        <v>661</v>
      </c>
      <c r="L20" s="192">
        <f t="shared" si="2"/>
        <v>-115</v>
      </c>
      <c r="M20" s="189">
        <f>'[1]8-Acomp. Hidrologia'!H20</f>
        <v>32</v>
      </c>
      <c r="O20" s="223" t="s">
        <v>156</v>
      </c>
      <c r="P20" s="17">
        <v>20.5</v>
      </c>
      <c r="Q20" s="17">
        <v>33.51292315265276</v>
      </c>
      <c r="R20" s="377">
        <f t="shared" si="1"/>
        <v>0.63477673915379318</v>
      </c>
    </row>
    <row r="21" spans="1:18" s="1" customFormat="1" ht="12" customHeight="1" thickBot="1" x14ac:dyDescent="0.25">
      <c r="A21" s="132" t="s">
        <v>143</v>
      </c>
      <c r="B21" s="130">
        <f>'[1]1-Balanço Energético '!$G$8</f>
        <v>7364</v>
      </c>
      <c r="C21" s="120">
        <f>'[1]1-Balanço Energético '!$H$8</f>
        <v>7154.375</v>
      </c>
      <c r="D21" s="121">
        <f t="shared" ref="D21:D26" si="3">IF((OR(B21=0,AND(B21&lt;0,C21&gt;0),AND(B21&gt;0,C21&lt;0))),"n/m",((C21-B21)/B21)*100)</f>
        <v>-2.8466186854970124</v>
      </c>
      <c r="F21" s="209"/>
      <c r="G21" s="208" t="s">
        <v>20</v>
      </c>
      <c r="H21" s="189">
        <f>'[1]8-Acomp. Hidrologia'!D21</f>
        <v>382.59</v>
      </c>
      <c r="I21" s="189">
        <f>'[1]8-Acomp. Hidrologia'!E21</f>
        <v>65.64</v>
      </c>
      <c r="J21" s="189">
        <f>'[1]8-Acomp. Hidrologia'!F21</f>
        <v>971</v>
      </c>
      <c r="K21" s="189">
        <f>'[1]8-Acomp. Hidrologia'!G21</f>
        <v>795</v>
      </c>
      <c r="L21" s="192">
        <f t="shared" si="2"/>
        <v>176</v>
      </c>
      <c r="M21" s="189">
        <f>'[1]8-Acomp. Hidrologia'!H21</f>
        <v>0</v>
      </c>
      <c r="O21" s="173"/>
      <c r="P21" s="16"/>
      <c r="Q21" s="16"/>
      <c r="R21" s="14"/>
    </row>
    <row r="22" spans="1:18" s="1" customFormat="1" ht="12" customHeight="1" thickBot="1" x14ac:dyDescent="0.25">
      <c r="A22" s="115" t="s">
        <v>144</v>
      </c>
      <c r="B22" s="129">
        <f>'[1]1-Balanço Energético '!$G$9</f>
        <v>1300</v>
      </c>
      <c r="C22" s="109">
        <f>'[1]1-Balanço Energético '!$H$9</f>
        <v>1422</v>
      </c>
      <c r="D22" s="110">
        <f t="shared" si="3"/>
        <v>9.384615384615385</v>
      </c>
      <c r="F22" s="209"/>
      <c r="G22" s="208" t="s">
        <v>21</v>
      </c>
      <c r="H22" s="189">
        <f>'[1]8-Acomp. Hidrologia'!D22</f>
        <v>324.76</v>
      </c>
      <c r="I22" s="189">
        <f>'[1]8-Acomp. Hidrologia'!E22</f>
        <v>32.94</v>
      </c>
      <c r="J22" s="189">
        <f>'[1]8-Acomp. Hidrologia'!F22</f>
        <v>615</v>
      </c>
      <c r="K22" s="189">
        <f>'[1]8-Acomp. Hidrologia'!G22</f>
        <v>692</v>
      </c>
      <c r="L22" s="192">
        <f t="shared" si="2"/>
        <v>-77</v>
      </c>
      <c r="M22" s="189">
        <f>'[1]8-Acomp. Hidrologia'!H22</f>
        <v>0</v>
      </c>
      <c r="O22" s="417" t="s">
        <v>157</v>
      </c>
      <c r="P22" s="418"/>
      <c r="Q22" s="418"/>
      <c r="R22" s="419"/>
    </row>
    <row r="23" spans="1:18" s="1" customFormat="1" ht="12" customHeight="1" thickBot="1" x14ac:dyDescent="0.25">
      <c r="A23" s="115" t="s">
        <v>146</v>
      </c>
      <c r="B23" s="129">
        <f>SUM(B21:B22)</f>
        <v>8664</v>
      </c>
      <c r="C23" s="109">
        <f>SUM(C21:C22)</f>
        <v>8576.375</v>
      </c>
      <c r="D23" s="110">
        <f t="shared" si="3"/>
        <v>-1.0113688827331486</v>
      </c>
      <c r="F23" s="209" t="s">
        <v>22</v>
      </c>
      <c r="G23" s="208" t="s">
        <v>23</v>
      </c>
      <c r="H23" s="189">
        <f>'[1]8-Acomp. Hidrologia'!D23</f>
        <v>564.70000000000005</v>
      </c>
      <c r="I23" s="189">
        <f>'[1]8-Acomp. Hidrologia'!E23</f>
        <v>56.27</v>
      </c>
      <c r="J23" s="189">
        <f>'[1]8-Acomp. Hidrologia'!F23</f>
        <v>183</v>
      </c>
      <c r="K23" s="189">
        <f>'[1]8-Acomp. Hidrologia'!G23</f>
        <v>93</v>
      </c>
      <c r="L23" s="192">
        <f t="shared" si="2"/>
        <v>90</v>
      </c>
      <c r="M23" s="189">
        <f>'[1]8-Acomp. Hidrologia'!H23</f>
        <v>0</v>
      </c>
      <c r="O23" s="222" t="s">
        <v>149</v>
      </c>
      <c r="P23" s="224">
        <v>1999</v>
      </c>
      <c r="Q23" s="224">
        <v>2000</v>
      </c>
      <c r="R23" s="221" t="s">
        <v>158</v>
      </c>
    </row>
    <row r="24" spans="1:18" s="1" customFormat="1" ht="12" customHeight="1" x14ac:dyDescent="0.2">
      <c r="A24" s="116" t="s">
        <v>147</v>
      </c>
      <c r="B24" s="129">
        <f>'[1]1-Balanço Energético '!$G$12</f>
        <v>7874</v>
      </c>
      <c r="C24" s="109">
        <f>'[1]1-Balanço Energético '!$H$12</f>
        <v>7916.458333333333</v>
      </c>
      <c r="D24" s="110">
        <f t="shared" si="3"/>
        <v>0.53922191177715306</v>
      </c>
      <c r="F24" s="210"/>
      <c r="G24" s="208" t="s">
        <v>24</v>
      </c>
      <c r="H24" s="189">
        <f>'[1]8-Acomp. Hidrologia'!D24</f>
        <v>469.02</v>
      </c>
      <c r="I24" s="189">
        <f>'[1]8-Acomp. Hidrologia'!E24</f>
        <v>39.51</v>
      </c>
      <c r="J24" s="189">
        <f>'[1]8-Acomp. Hidrologia'!F24</f>
        <v>223</v>
      </c>
      <c r="K24" s="189">
        <f>'[1]8-Acomp. Hidrologia'!G24</f>
        <v>184</v>
      </c>
      <c r="L24" s="192">
        <f t="shared" si="2"/>
        <v>39</v>
      </c>
      <c r="M24" s="189">
        <f>'[1]8-Acomp. Hidrologia'!H24</f>
        <v>0</v>
      </c>
      <c r="O24" s="163" t="s">
        <v>132</v>
      </c>
      <c r="P24" s="16">
        <v>52.6</v>
      </c>
      <c r="Q24" s="16">
        <v>42.68</v>
      </c>
      <c r="R24" s="13">
        <f t="shared" ref="R24:R35" si="4">(Q24-P24)/P24</f>
        <v>-0.18859315589353615</v>
      </c>
    </row>
    <row r="25" spans="1:18" s="1" customFormat="1" ht="12" customHeight="1" thickBot="1" x14ac:dyDescent="0.25">
      <c r="A25" s="117" t="s">
        <v>222</v>
      </c>
      <c r="B25" s="129">
        <f>-'[1]1-Balanço Energético '!$G$11+'[1]1-Balanço Energético '!$G$13</f>
        <v>837</v>
      </c>
      <c r="C25" s="109">
        <f>-'[1]1-Balanço Energético '!$H$11+'[1]1-Balanço Energético '!$H$13</f>
        <v>705.19583333333367</v>
      </c>
      <c r="D25" s="110">
        <f t="shared" si="3"/>
        <v>-15.747212266029431</v>
      </c>
      <c r="E25" s="2"/>
      <c r="F25" s="211"/>
      <c r="G25" s="212" t="s">
        <v>25</v>
      </c>
      <c r="H25" s="190">
        <f>'[1]8-Acomp. Hidrologia'!D25</f>
        <v>330.43</v>
      </c>
      <c r="I25" s="190">
        <f>'[1]8-Acomp. Hidrologia'!E25</f>
        <v>66.7</v>
      </c>
      <c r="J25" s="190">
        <f>'[1]8-Acomp. Hidrologia'!F25</f>
        <v>1219</v>
      </c>
      <c r="K25" s="190">
        <f>'[1]8-Acomp. Hidrologia'!G25</f>
        <v>1332</v>
      </c>
      <c r="L25" s="193">
        <f t="shared" si="2"/>
        <v>-113</v>
      </c>
      <c r="M25" s="190">
        <f>'[1]8-Acomp. Hidrologia'!H25</f>
        <v>0</v>
      </c>
      <c r="O25" s="163" t="s">
        <v>150</v>
      </c>
      <c r="P25" s="16">
        <v>48.8</v>
      </c>
      <c r="Q25" s="16">
        <v>58.763607990012488</v>
      </c>
      <c r="R25" s="13">
        <f t="shared" si="4"/>
        <v>0.20417229487730515</v>
      </c>
    </row>
    <row r="26" spans="1:18" s="1" customFormat="1" ht="12" customHeight="1" thickBot="1" x14ac:dyDescent="0.25">
      <c r="A26" s="118" t="s">
        <v>239</v>
      </c>
      <c r="B26" s="131">
        <f>-'[1]1-Balanço Energético '!$G$14</f>
        <v>47</v>
      </c>
      <c r="C26" s="112">
        <f>-'[1]1-Balanço Energético '!$H$14</f>
        <v>45.27916666666669</v>
      </c>
      <c r="D26" s="113">
        <f t="shared" si="3"/>
        <v>-3.6613475177304471</v>
      </c>
      <c r="F26" s="173" t="s">
        <v>138</v>
      </c>
      <c r="G26" s="195"/>
      <c r="H26" s="196"/>
      <c r="I26" s="196"/>
      <c r="J26" s="196"/>
      <c r="K26" s="196"/>
      <c r="L26" s="197"/>
      <c r="M26" s="198"/>
      <c r="O26" s="163" t="s">
        <v>133</v>
      </c>
      <c r="P26" s="16">
        <v>62.6</v>
      </c>
      <c r="Q26" s="16">
        <v>69.033098429594602</v>
      </c>
      <c r="R26" s="13">
        <f t="shared" si="4"/>
        <v>0.10276515063250161</v>
      </c>
    </row>
    <row r="27" spans="1:18" s="1" customFormat="1" ht="12" customHeight="1" x14ac:dyDescent="0.2">
      <c r="A27" s="125"/>
      <c r="B27" s="12" t="str">
        <f>IF(ABS(B23-B25+B26-B24)&gt;1,"Check","")</f>
        <v/>
      </c>
      <c r="C27" s="12" t="str">
        <f>IF(ABS(C23-C25+C26-C24)&gt;1,"Check","")</f>
        <v/>
      </c>
      <c r="D27" s="30"/>
      <c r="F27" s="213" t="s">
        <v>26</v>
      </c>
      <c r="G27" s="214" t="s">
        <v>27</v>
      </c>
      <c r="H27" s="188">
        <f>'[1]8-Acomp. Hidrologia'!D26</f>
        <v>741.12</v>
      </c>
      <c r="I27" s="188">
        <f>'[1]8-Acomp. Hidrologia'!E26</f>
        <v>96.85</v>
      </c>
      <c r="J27" s="188">
        <f>'[1]8-Acomp. Hidrologia'!F26</f>
        <v>1143</v>
      </c>
      <c r="K27" s="188">
        <f>'[1]8-Acomp. Hidrologia'!G26</f>
        <v>1033</v>
      </c>
      <c r="L27" s="191">
        <f>J27-K27</f>
        <v>110</v>
      </c>
      <c r="M27" s="188">
        <f>'[1]8-Acomp. Hidrologia'!H26</f>
        <v>0</v>
      </c>
      <c r="O27" s="163" t="s">
        <v>151</v>
      </c>
      <c r="P27" s="16">
        <v>62.1</v>
      </c>
      <c r="Q27" s="16">
        <v>73.391545108088579</v>
      </c>
      <c r="R27" s="13">
        <f t="shared" si="4"/>
        <v>0.18182842364071783</v>
      </c>
    </row>
    <row r="28" spans="1:18" s="1" customFormat="1" ht="12" customHeight="1" thickBot="1" x14ac:dyDescent="0.25">
      <c r="A28" s="412" t="s">
        <v>258</v>
      </c>
      <c r="B28" s="413"/>
      <c r="C28" s="413"/>
      <c r="D28" s="414"/>
      <c r="F28" s="164"/>
      <c r="G28" s="215" t="s">
        <v>28</v>
      </c>
      <c r="H28" s="190">
        <f>'[1]8-Acomp. Hidrologia'!D27</f>
        <v>505.72</v>
      </c>
      <c r="I28" s="190">
        <f>'[1]8-Acomp. Hidrologia'!E27</f>
        <v>98.58</v>
      </c>
      <c r="J28" s="190">
        <f>'[1]8-Acomp. Hidrologia'!F27</f>
        <v>1222</v>
      </c>
      <c r="K28" s="190">
        <f>'[1]8-Acomp. Hidrologia'!G27</f>
        <v>1006</v>
      </c>
      <c r="L28" s="193">
        <f>J28-K28</f>
        <v>216</v>
      </c>
      <c r="M28" s="190">
        <f>'[1]8-Acomp. Hidrologia'!H27</f>
        <v>0</v>
      </c>
      <c r="O28" s="163" t="s">
        <v>152</v>
      </c>
      <c r="P28" s="16">
        <v>58.4</v>
      </c>
      <c r="Q28" s="16">
        <v>69.930000000000007</v>
      </c>
      <c r="R28" s="13">
        <f t="shared" si="4"/>
        <v>0.19743150684931521</v>
      </c>
    </row>
    <row r="29" spans="1:18" s="1" customFormat="1" ht="12" customHeight="1" thickBot="1" x14ac:dyDescent="0.25">
      <c r="A29" s="107" t="s">
        <v>139</v>
      </c>
      <c r="B29" s="133" t="s">
        <v>179</v>
      </c>
      <c r="C29" s="123" t="s">
        <v>140</v>
      </c>
      <c r="D29" s="124" t="s">
        <v>141</v>
      </c>
      <c r="F29" s="173" t="s">
        <v>142</v>
      </c>
      <c r="G29" s="195"/>
      <c r="H29" s="196"/>
      <c r="I29" s="196"/>
      <c r="J29" s="196"/>
      <c r="K29" s="196"/>
      <c r="L29" s="197"/>
      <c r="M29" s="198"/>
      <c r="O29" s="163" t="s">
        <v>134</v>
      </c>
      <c r="P29" s="16">
        <v>52.8</v>
      </c>
      <c r="Q29" s="16">
        <v>65.19</v>
      </c>
      <c r="R29" s="13">
        <f t="shared" si="4"/>
        <v>0.23465909090909093</v>
      </c>
    </row>
    <row r="30" spans="1:18" s="1" customFormat="1" ht="12" customHeight="1" x14ac:dyDescent="0.2">
      <c r="A30" s="132" t="s">
        <v>143</v>
      </c>
      <c r="B30" s="130">
        <f>'[1]1-Balanço Energético '!$B$24</f>
        <v>3530</v>
      </c>
      <c r="C30" s="120">
        <f>'[1]1-Balanço Energético '!$C$24</f>
        <v>3469.4250000000006</v>
      </c>
      <c r="D30" s="121">
        <f t="shared" ref="D30:D35" si="5">IF((OR(B30=0,AND(B30&lt;0,C30&gt;0),AND(B30&gt;0,C30&lt;0))),"n/m",((C30-B30)/B30)*100)</f>
        <v>-1.7160056657223617</v>
      </c>
      <c r="F30" s="213" t="s">
        <v>29</v>
      </c>
      <c r="G30" s="214" t="s">
        <v>30</v>
      </c>
      <c r="H30" s="188">
        <f>'[1]8-Acomp. Hidrologia'!D28</f>
        <v>561.01</v>
      </c>
      <c r="I30" s="188">
        <f>'[1]8-Acomp. Hidrologia'!E28</f>
        <v>38</v>
      </c>
      <c r="J30" s="188">
        <f>'[1]8-Acomp. Hidrologia'!F28</f>
        <v>357</v>
      </c>
      <c r="K30" s="188">
        <f>'[1]8-Acomp. Hidrologia'!G28</f>
        <v>586</v>
      </c>
      <c r="L30" s="191">
        <f>J30-K30</f>
        <v>-229</v>
      </c>
      <c r="M30" s="188">
        <f>'[1]8-Acomp. Hidrologia'!H29</f>
        <v>0</v>
      </c>
      <c r="O30" s="163" t="s">
        <v>135</v>
      </c>
      <c r="P30" s="16">
        <v>45.4</v>
      </c>
      <c r="Q30" s="16">
        <v>58.49</v>
      </c>
      <c r="R30" s="13">
        <f t="shared" si="4"/>
        <v>0.28832599118942742</v>
      </c>
    </row>
    <row r="31" spans="1:18" s="1" customFormat="1" ht="12" customHeight="1" x14ac:dyDescent="0.2">
      <c r="A31" s="115" t="s">
        <v>144</v>
      </c>
      <c r="B31" s="129">
        <f>'[1]1-Balanço Energético '!$B$25</f>
        <v>0</v>
      </c>
      <c r="C31" s="109">
        <f>'[1]1-Balanço Energético '!$C$25</f>
        <v>0</v>
      </c>
      <c r="D31" s="110" t="str">
        <f t="shared" si="5"/>
        <v>n/m</v>
      </c>
      <c r="F31" s="216"/>
      <c r="G31" s="217" t="s">
        <v>31</v>
      </c>
      <c r="H31" s="189">
        <f>'[1]8-Acomp. Hidrologia'!D29</f>
        <v>387.54</v>
      </c>
      <c r="I31" s="189">
        <f>'[1]8-Acomp. Hidrologia'!E29</f>
        <v>43.03</v>
      </c>
      <c r="J31" s="189">
        <f>'[1]8-Acomp. Hidrologia'!F29</f>
        <v>2850</v>
      </c>
      <c r="K31" s="189">
        <f>'[1]8-Acomp. Hidrologia'!G29</f>
        <v>2076</v>
      </c>
      <c r="L31" s="192">
        <f>J31-K31</f>
        <v>774</v>
      </c>
      <c r="M31" s="189">
        <f>'[1]8-Acomp. Hidrologia'!H30</f>
        <v>0</v>
      </c>
      <c r="O31" s="163" t="s">
        <v>153</v>
      </c>
      <c r="P31" s="16">
        <v>37.1</v>
      </c>
      <c r="Q31" s="16">
        <v>49.34</v>
      </c>
      <c r="R31" s="13">
        <f t="shared" si="4"/>
        <v>0.3299191374663073</v>
      </c>
    </row>
    <row r="32" spans="1:18" s="1" customFormat="1" ht="12" customHeight="1" thickBot="1" x14ac:dyDescent="0.25">
      <c r="A32" s="115" t="s">
        <v>146</v>
      </c>
      <c r="B32" s="129">
        <f>SUM(B30:B31)</f>
        <v>3530</v>
      </c>
      <c r="C32" s="134">
        <f>SUM(C30:C31)</f>
        <v>3469.4250000000006</v>
      </c>
      <c r="D32" s="110">
        <f t="shared" si="5"/>
        <v>-1.7160056657223617</v>
      </c>
      <c r="F32" s="164"/>
      <c r="G32" s="215" t="s">
        <v>32</v>
      </c>
      <c r="H32" s="190">
        <f>'[1]8-Acomp. Hidrologia'!D30</f>
        <v>301.8</v>
      </c>
      <c r="I32" s="190">
        <f>'[1]8-Acomp. Hidrologia'!E30</f>
        <v>52.42</v>
      </c>
      <c r="J32" s="190">
        <f>'[1]8-Acomp. Hidrologia'!F30</f>
        <v>1684</v>
      </c>
      <c r="K32" s="190">
        <f>'[1]8-Acomp. Hidrologia'!G30</f>
        <v>2019</v>
      </c>
      <c r="L32" s="193">
        <f>J32-K32</f>
        <v>-335</v>
      </c>
      <c r="M32" s="190">
        <f>'[1]8-Acomp. Hidrologia'!H31</f>
        <v>0</v>
      </c>
      <c r="O32" s="163" t="s">
        <v>154</v>
      </c>
      <c r="P32" s="16">
        <v>28.6</v>
      </c>
      <c r="Q32" s="16">
        <v>40.42</v>
      </c>
      <c r="R32" s="13">
        <f t="shared" si="4"/>
        <v>0.41328671328671329</v>
      </c>
    </row>
    <row r="33" spans="1:18" s="1" customFormat="1" ht="12" customHeight="1" thickBot="1" x14ac:dyDescent="0.25">
      <c r="A33" s="116" t="s">
        <v>147</v>
      </c>
      <c r="B33" s="129">
        <f>'[1]1-Balanço Energético '!$B$27</f>
        <v>2550</v>
      </c>
      <c r="C33" s="109">
        <f>'[1]1-Balanço Energético '!$C$27</f>
        <v>2570.3333333333335</v>
      </c>
      <c r="D33" s="110">
        <f t="shared" si="5"/>
        <v>0.79738562091503862</v>
      </c>
      <c r="F33" s="173" t="s">
        <v>160</v>
      </c>
      <c r="G33" s="195"/>
      <c r="H33" s="199"/>
      <c r="I33" s="199"/>
      <c r="J33" s="200"/>
      <c r="K33" s="200"/>
      <c r="L33" s="201"/>
      <c r="M33" s="202"/>
      <c r="O33" s="163" t="s">
        <v>155</v>
      </c>
      <c r="P33" s="16">
        <v>19.399999999999999</v>
      </c>
      <c r="Q33" s="16">
        <v>29.45</v>
      </c>
      <c r="R33" s="13">
        <f t="shared" si="4"/>
        <v>0.51804123711340211</v>
      </c>
    </row>
    <row r="34" spans="1:18" s="1" customFormat="1" ht="12" customHeight="1" x14ac:dyDescent="0.2">
      <c r="A34" s="117" t="s">
        <v>223</v>
      </c>
      <c r="B34" s="129">
        <f>'[1]1-Balanço Energético '!$B$28</f>
        <v>419</v>
      </c>
      <c r="C34" s="109">
        <f>'[1]1-Balanço Energético '!$C$28</f>
        <v>452.91666666666657</v>
      </c>
      <c r="D34" s="110">
        <f t="shared" si="5"/>
        <v>8.0946698488464381</v>
      </c>
      <c r="F34" s="213" t="s">
        <v>33</v>
      </c>
      <c r="G34" s="218" t="s">
        <v>34</v>
      </c>
      <c r="H34" s="203">
        <f>'[1]8-Acomp. Hidrologia'!D31</f>
        <v>440.3</v>
      </c>
      <c r="I34" s="203">
        <f>'[1]8-Acomp. Hidrologia'!E31</f>
        <v>37.630000000000003</v>
      </c>
      <c r="J34" s="203">
        <f>'[1]8-Acomp. Hidrologia'!F31</f>
        <v>453</v>
      </c>
      <c r="K34" s="203">
        <f>'[1]8-Acomp. Hidrologia'!G31</f>
        <v>1078</v>
      </c>
      <c r="L34" s="191">
        <f>J34-K34</f>
        <v>-625</v>
      </c>
      <c r="M34" s="203">
        <f>'[1]8-Acomp. Hidrologia'!H33</f>
        <v>0</v>
      </c>
      <c r="O34" s="163" t="s">
        <v>136</v>
      </c>
      <c r="P34" s="16">
        <v>17.399999999999999</v>
      </c>
      <c r="Q34" s="16">
        <v>27.801934826883912</v>
      </c>
      <c r="R34" s="13">
        <f t="shared" si="4"/>
        <v>0.59781234637263869</v>
      </c>
    </row>
    <row r="35" spans="1:18" s="1" customFormat="1" ht="12" customHeight="1" thickBot="1" x14ac:dyDescent="0.25">
      <c r="A35" s="118" t="s">
        <v>224</v>
      </c>
      <c r="B35" s="131">
        <f>'[1]1-Balanço Energético '!$B$29</f>
        <v>531</v>
      </c>
      <c r="C35" s="112">
        <f>'[1]1-Balanço Energético '!$C$29</f>
        <v>446.17500000000001</v>
      </c>
      <c r="D35" s="113">
        <f t="shared" si="5"/>
        <v>-15.974576271186439</v>
      </c>
      <c r="F35" s="164"/>
      <c r="G35" s="215" t="s">
        <v>35</v>
      </c>
      <c r="H35" s="204">
        <f>'[1]8-Acomp. Hidrologia'!D32</f>
        <v>71.14</v>
      </c>
      <c r="I35" s="204">
        <f>'[1]8-Acomp. Hidrologia'!E32</f>
        <v>94.57</v>
      </c>
      <c r="J35" s="204">
        <f>'[1]8-Acomp. Hidrologia'!F32</f>
        <v>14535</v>
      </c>
      <c r="K35" s="204">
        <f>'[1]8-Acomp. Hidrologia'!G32</f>
        <v>13783</v>
      </c>
      <c r="L35" s="193">
        <f>J35-K35</f>
        <v>752</v>
      </c>
      <c r="M35" s="204">
        <f>'[1]8-Acomp. Hidrologia'!H34</f>
        <v>0</v>
      </c>
      <c r="O35" s="223" t="s">
        <v>156</v>
      </c>
      <c r="P35" s="17">
        <v>25.9</v>
      </c>
      <c r="Q35" s="17">
        <v>40.772064837705365</v>
      </c>
      <c r="R35" s="377">
        <f t="shared" si="4"/>
        <v>0.57421099759480188</v>
      </c>
    </row>
    <row r="36" spans="1:18" s="1" customFormat="1" ht="12" customHeight="1" thickBot="1" x14ac:dyDescent="0.25">
      <c r="A36" s="29"/>
      <c r="B36" s="104" t="str">
        <f>IF(ABS(B32-B33-B34-B35)&gt;1,"Check","")</f>
        <v>Check</v>
      </c>
      <c r="C36" s="104" t="str">
        <f>IF(ABS(C32-C33-C34-C35)&gt;1,"Check","")</f>
        <v/>
      </c>
      <c r="D36" s="30"/>
    </row>
    <row r="37" spans="1:18" s="1" customFormat="1" ht="12" customHeight="1" thickBot="1" x14ac:dyDescent="0.25">
      <c r="A37" s="412" t="s">
        <v>178</v>
      </c>
      <c r="B37" s="413"/>
      <c r="C37" s="413"/>
      <c r="D37" s="414"/>
      <c r="F37" s="141" t="s">
        <v>233</v>
      </c>
      <c r="G37" s="105"/>
      <c r="H37" s="105"/>
      <c r="I37" s="105"/>
      <c r="J37" s="105"/>
      <c r="K37" s="105"/>
      <c r="L37" s="105"/>
      <c r="M37" s="106"/>
      <c r="N37" s="55"/>
      <c r="O37" s="141" t="s">
        <v>235</v>
      </c>
      <c r="P37" s="105"/>
      <c r="Q37" s="105"/>
      <c r="R37" s="106"/>
    </row>
    <row r="38" spans="1:18" s="1" customFormat="1" ht="12" customHeight="1" thickBot="1" x14ac:dyDescent="0.25">
      <c r="A38" s="107" t="s">
        <v>139</v>
      </c>
      <c r="B38" s="133" t="s">
        <v>179</v>
      </c>
      <c r="C38" s="123" t="s">
        <v>140</v>
      </c>
      <c r="D38" s="124" t="s">
        <v>141</v>
      </c>
      <c r="F38" s="219" t="s">
        <v>166</v>
      </c>
      <c r="G38" s="6"/>
      <c r="H38" s="6"/>
      <c r="I38" s="8"/>
      <c r="J38" s="219" t="s">
        <v>165</v>
      </c>
      <c r="K38" s="6"/>
      <c r="L38" s="6"/>
      <c r="M38" s="8"/>
      <c r="N38" s="56"/>
      <c r="O38" s="9"/>
      <c r="P38" s="6"/>
      <c r="Q38" s="6"/>
      <c r="R38" s="23"/>
    </row>
    <row r="39" spans="1:18" s="1" customFormat="1" ht="12" customHeight="1" thickBot="1" x14ac:dyDescent="0.25">
      <c r="A39" s="132" t="s">
        <v>143</v>
      </c>
      <c r="B39" s="130">
        <f>'[1]1-Balanço Energético '!$G$24</f>
        <v>5932</v>
      </c>
      <c r="C39" s="120">
        <f>'[1]1-Balanço Energético '!$H$24</f>
        <v>5810.1374999999998</v>
      </c>
      <c r="D39" s="121">
        <f t="shared" ref="D39:D44" si="6">IF((OR(B39=0,AND(B39&lt;0,C39&gt;0),AND(B39&gt;0,C39&lt;0))),"n/m",((C39-B39)/B39)*100)</f>
        <v>-2.054324005394474</v>
      </c>
      <c r="F39" s="219"/>
      <c r="G39" s="6"/>
      <c r="H39" s="6"/>
      <c r="I39" s="8"/>
      <c r="J39" s="219"/>
      <c r="K39" s="6"/>
      <c r="L39" s="6"/>
      <c r="M39" s="8"/>
      <c r="N39" s="56"/>
      <c r="O39" s="9"/>
      <c r="P39" s="6"/>
      <c r="Q39" s="6"/>
      <c r="R39" s="8"/>
    </row>
    <row r="40" spans="1:18" s="1" customFormat="1" ht="12" customHeight="1" thickBot="1" x14ac:dyDescent="0.25">
      <c r="A40" s="115" t="s">
        <v>144</v>
      </c>
      <c r="B40" s="129">
        <f>'[1]1-Balanço Energético '!$G$25</f>
        <v>0</v>
      </c>
      <c r="C40" s="109">
        <f>'[1]1-Balanço Energético '!$H$25</f>
        <v>0</v>
      </c>
      <c r="D40" s="110" t="str">
        <f t="shared" si="6"/>
        <v>n/m</v>
      </c>
      <c r="F40" s="417" t="s">
        <v>164</v>
      </c>
      <c r="G40" s="418"/>
      <c r="H40" s="418"/>
      <c r="I40" s="419"/>
      <c r="J40" s="417" t="s">
        <v>164</v>
      </c>
      <c r="K40" s="418"/>
      <c r="L40" s="418"/>
      <c r="M40" s="419"/>
      <c r="N40" s="27"/>
      <c r="O40" s="417" t="s">
        <v>164</v>
      </c>
      <c r="P40" s="418"/>
      <c r="Q40" s="418"/>
      <c r="R40" s="419"/>
    </row>
    <row r="41" spans="1:18" s="1" customFormat="1" ht="12" customHeight="1" thickBot="1" x14ac:dyDescent="0.25">
      <c r="A41" s="115" t="s">
        <v>146</v>
      </c>
      <c r="B41" s="129">
        <f>SUM(B39:B40)</f>
        <v>5932</v>
      </c>
      <c r="C41" s="109">
        <f>SUM(C39:C40)</f>
        <v>5810.1374999999998</v>
      </c>
      <c r="D41" s="110">
        <f t="shared" si="6"/>
        <v>-2.054324005394474</v>
      </c>
      <c r="F41" s="222" t="s">
        <v>149</v>
      </c>
      <c r="G41" s="220">
        <v>1999</v>
      </c>
      <c r="H41" s="220">
        <v>2000</v>
      </c>
      <c r="I41" s="221" t="s">
        <v>158</v>
      </c>
      <c r="J41" s="222" t="s">
        <v>149</v>
      </c>
      <c r="K41" s="220">
        <v>1999</v>
      </c>
      <c r="L41" s="220">
        <v>2000</v>
      </c>
      <c r="M41" s="221" t="s">
        <v>158</v>
      </c>
      <c r="N41" s="57"/>
      <c r="O41" s="222" t="s">
        <v>149</v>
      </c>
      <c r="P41" s="220">
        <v>1999</v>
      </c>
      <c r="Q41" s="220">
        <v>2000</v>
      </c>
      <c r="R41" s="221" t="s">
        <v>158</v>
      </c>
    </row>
    <row r="42" spans="1:18" s="1" customFormat="1" ht="12" customHeight="1" x14ac:dyDescent="0.2">
      <c r="A42" s="116" t="s">
        <v>147</v>
      </c>
      <c r="B42" s="129">
        <f>'[1]1-Balanço Energético '!$G$27</f>
        <v>6351</v>
      </c>
      <c r="C42" s="109">
        <f>'[1]1-Balanço Energético '!$H$27</f>
        <v>6263.0541666666677</v>
      </c>
      <c r="D42" s="110">
        <f t="shared" si="6"/>
        <v>-1.3847556815199544</v>
      </c>
      <c r="F42" s="163" t="s">
        <v>132</v>
      </c>
      <c r="G42" s="12">
        <v>27057.599999999999</v>
      </c>
      <c r="H42" s="12">
        <v>27687</v>
      </c>
      <c r="I42" s="13">
        <f t="shared" ref="I42:I53" si="7">(H42-G42)/G42</f>
        <v>2.326148660635095E-2</v>
      </c>
      <c r="J42" s="163" t="s">
        <v>132</v>
      </c>
      <c r="K42" s="12">
        <v>1226.9000000000001</v>
      </c>
      <c r="L42" s="12">
        <v>1871</v>
      </c>
      <c r="M42" s="13">
        <f t="shared" ref="M42:M53" si="8">(L42-K42)/K42</f>
        <v>0.52498166109707378</v>
      </c>
      <c r="N42" s="58"/>
      <c r="O42" s="163" t="s">
        <v>132</v>
      </c>
      <c r="P42" s="12">
        <v>28284.5</v>
      </c>
      <c r="Q42" s="12">
        <v>29600</v>
      </c>
      <c r="R42" s="13">
        <f t="shared" ref="R42:R53" si="9">(Q42-P42)/P42</f>
        <v>4.6509572380632504E-2</v>
      </c>
    </row>
    <row r="43" spans="1:18" s="1" customFormat="1" ht="12" customHeight="1" x14ac:dyDescent="0.2">
      <c r="A43" s="117" t="s">
        <v>225</v>
      </c>
      <c r="B43" s="129">
        <f>'[1]1-Balanço Energético '!$G$28</f>
        <v>-419</v>
      </c>
      <c r="C43" s="109">
        <f>'[1]1-Balanço Energético '!$H$28</f>
        <v>-452.91666666666657</v>
      </c>
      <c r="D43" s="110">
        <f t="shared" si="6"/>
        <v>8.0946698488464381</v>
      </c>
      <c r="F43" s="163" t="s">
        <v>150</v>
      </c>
      <c r="G43" s="12">
        <v>25137</v>
      </c>
      <c r="H43" s="12">
        <v>26907</v>
      </c>
      <c r="I43" s="13">
        <f t="shared" si="7"/>
        <v>7.0414130564506502E-2</v>
      </c>
      <c r="J43" s="163" t="s">
        <v>150</v>
      </c>
      <c r="K43" s="12">
        <v>1207</v>
      </c>
      <c r="L43" s="12">
        <v>1775</v>
      </c>
      <c r="M43" s="13">
        <f t="shared" si="8"/>
        <v>0.47058823529411764</v>
      </c>
      <c r="N43" s="58"/>
      <c r="O43" s="163" t="s">
        <v>150</v>
      </c>
      <c r="P43" s="12">
        <v>26344</v>
      </c>
      <c r="Q43" s="12">
        <v>28701.18746666667</v>
      </c>
      <c r="R43" s="13">
        <f t="shared" si="9"/>
        <v>8.9477204170462718E-2</v>
      </c>
    </row>
    <row r="44" spans="1:18" s="1" customFormat="1" ht="12" customHeight="1" thickBot="1" x14ac:dyDescent="0.25">
      <c r="A44" s="118" t="s">
        <v>226</v>
      </c>
      <c r="B44" s="131">
        <f>'[1]1-Balanço Energético '!$G$29</f>
        <v>0</v>
      </c>
      <c r="C44" s="112">
        <f>'[1]1-Balanço Energético '!$H$29</f>
        <v>-1.3073986337985843E-12</v>
      </c>
      <c r="D44" s="113" t="str">
        <f t="shared" si="6"/>
        <v>n/m</v>
      </c>
      <c r="F44" s="163" t="s">
        <v>133</v>
      </c>
      <c r="G44" s="12">
        <v>28507</v>
      </c>
      <c r="H44" s="12">
        <v>28799</v>
      </c>
      <c r="I44" s="13">
        <f t="shared" si="7"/>
        <v>1.0243098186410355E-2</v>
      </c>
      <c r="J44" s="163" t="s">
        <v>133</v>
      </c>
      <c r="K44" s="12">
        <v>1319</v>
      </c>
      <c r="L44" s="12">
        <v>1681</v>
      </c>
      <c r="M44" s="13">
        <f t="shared" si="8"/>
        <v>0.27445034116755118</v>
      </c>
      <c r="N44" s="58"/>
      <c r="O44" s="163" t="s">
        <v>133</v>
      </c>
      <c r="P44" s="12">
        <v>29826</v>
      </c>
      <c r="Q44" s="12">
        <v>30509.932557</v>
      </c>
      <c r="R44" s="13">
        <f t="shared" si="9"/>
        <v>2.2930750251458461E-2</v>
      </c>
    </row>
    <row r="45" spans="1:18" s="1" customFormat="1" ht="12" customHeight="1" thickBot="1" x14ac:dyDescent="0.25">
      <c r="A45" s="125"/>
      <c r="B45" s="12" t="str">
        <f>IF(ABS(-B41+B42+B43+B44)&gt;1,"Check","")</f>
        <v/>
      </c>
      <c r="C45" s="12" t="str">
        <f>IF(ABS(-C41+C42+C43+C44)&gt;1,"Check","")</f>
        <v/>
      </c>
      <c r="D45" s="30"/>
      <c r="F45" s="163" t="s">
        <v>151</v>
      </c>
      <c r="G45" s="12">
        <v>26917</v>
      </c>
      <c r="H45" s="12">
        <v>27799</v>
      </c>
      <c r="I45" s="13">
        <f t="shared" si="7"/>
        <v>3.2767396069398519E-2</v>
      </c>
      <c r="J45" s="163" t="s">
        <v>151</v>
      </c>
      <c r="K45" s="12">
        <v>1239</v>
      </c>
      <c r="L45" s="12">
        <v>1415</v>
      </c>
      <c r="M45" s="13">
        <f t="shared" si="8"/>
        <v>0.14205004035512511</v>
      </c>
      <c r="N45" s="58"/>
      <c r="O45" s="163" t="s">
        <v>151</v>
      </c>
      <c r="P45" s="12">
        <v>28156</v>
      </c>
      <c r="Q45" s="12">
        <v>27799</v>
      </c>
      <c r="R45" s="13">
        <f t="shared" si="9"/>
        <v>-1.2679357863332861E-2</v>
      </c>
    </row>
    <row r="46" spans="1:18" s="1" customFormat="1" ht="12" customHeight="1" thickBot="1" x14ac:dyDescent="0.25">
      <c r="A46" s="9"/>
      <c r="B46" s="107" t="s">
        <v>140</v>
      </c>
      <c r="C46" s="6"/>
      <c r="D46" s="8"/>
      <c r="F46" s="163" t="s">
        <v>152</v>
      </c>
      <c r="G46" s="12">
        <v>27147</v>
      </c>
      <c r="H46" s="12">
        <v>28801</v>
      </c>
      <c r="I46" s="13">
        <f t="shared" si="7"/>
        <v>6.0927542638228901E-2</v>
      </c>
      <c r="J46" s="163" t="s">
        <v>152</v>
      </c>
      <c r="K46" s="12">
        <v>1340</v>
      </c>
      <c r="L46" s="12">
        <v>1335</v>
      </c>
      <c r="M46" s="13">
        <f t="shared" si="8"/>
        <v>-3.7313432835820895E-3</v>
      </c>
      <c r="N46" s="58"/>
      <c r="O46" s="163" t="s">
        <v>152</v>
      </c>
      <c r="P46" s="12">
        <v>28528.245000000003</v>
      </c>
      <c r="Q46" s="12">
        <v>30294.686699999998</v>
      </c>
      <c r="R46" s="13">
        <f t="shared" si="9"/>
        <v>6.1919045493334608E-2</v>
      </c>
    </row>
    <row r="47" spans="1:18" s="1" customFormat="1" ht="12" customHeight="1" x14ac:dyDescent="0.2">
      <c r="A47" s="135" t="s">
        <v>0</v>
      </c>
      <c r="B47" s="138">
        <f>'[1]1-Balanço Energético '!$G$18</f>
        <v>5420.8625000000002</v>
      </c>
      <c r="C47" s="6"/>
      <c r="D47" s="126" t="str">
        <f>IF(ABS(B47-Page2!G68&gt;1),"Check","")</f>
        <v/>
      </c>
      <c r="F47" s="163" t="s">
        <v>134</v>
      </c>
      <c r="G47" s="12">
        <v>26576</v>
      </c>
      <c r="H47" s="12">
        <v>27362</v>
      </c>
      <c r="I47" s="13">
        <f t="shared" si="7"/>
        <v>2.9575556893437688E-2</v>
      </c>
      <c r="J47" s="163" t="s">
        <v>134</v>
      </c>
      <c r="K47" s="12">
        <v>1272</v>
      </c>
      <c r="L47" s="12">
        <v>1413</v>
      </c>
      <c r="M47" s="13">
        <f t="shared" si="8"/>
        <v>0.11084905660377359</v>
      </c>
      <c r="N47" s="58"/>
      <c r="O47" s="163" t="s">
        <v>134</v>
      </c>
      <c r="P47" s="12">
        <v>27875.034199999998</v>
      </c>
      <c r="Q47" s="12">
        <v>29204.740650000003</v>
      </c>
      <c r="R47" s="13">
        <f t="shared" si="9"/>
        <v>4.7702415016230015E-2</v>
      </c>
    </row>
    <row r="48" spans="1:18" s="1" customFormat="1" ht="12" customHeight="1" x14ac:dyDescent="0.2">
      <c r="A48" s="136" t="s">
        <v>1</v>
      </c>
      <c r="B48" s="139">
        <f>'[1]1-Balanço Energético '!$G$19</f>
        <v>3835.0583333333338</v>
      </c>
      <c r="C48" s="127" t="str">
        <f>IF(B47+B48-C13&gt;1,"Check","")</f>
        <v/>
      </c>
      <c r="D48" s="126" t="str">
        <f>IF(ABS(B48-Page2!G69&gt;1),"Check","")</f>
        <v/>
      </c>
      <c r="F48" s="163" t="s">
        <v>135</v>
      </c>
      <c r="G48" s="12">
        <v>27818</v>
      </c>
      <c r="H48" s="12">
        <v>27666</v>
      </c>
      <c r="I48" s="13">
        <f t="shared" si="7"/>
        <v>-5.4640880005751673E-3</v>
      </c>
      <c r="J48" s="163" t="s">
        <v>135</v>
      </c>
      <c r="K48" s="12">
        <v>988</v>
      </c>
      <c r="L48" s="12">
        <v>1351</v>
      </c>
      <c r="M48" s="13">
        <f t="shared" si="8"/>
        <v>0.36740890688259109</v>
      </c>
      <c r="N48" s="58"/>
      <c r="O48" s="163" t="s">
        <v>135</v>
      </c>
      <c r="P48" s="12">
        <v>28840</v>
      </c>
      <c r="Q48" s="12">
        <v>29739</v>
      </c>
      <c r="R48" s="13">
        <f t="shared" si="9"/>
        <v>3.1171983356449377E-2</v>
      </c>
    </row>
    <row r="49" spans="1:18" s="1" customFormat="1" ht="12" customHeight="1" thickBot="1" x14ac:dyDescent="0.25">
      <c r="A49" s="137" t="s">
        <v>219</v>
      </c>
      <c r="B49" s="140">
        <f>'[1]1-Balanço Energético '!$G$20</f>
        <v>-705.19583333333355</v>
      </c>
      <c r="C49" s="128" t="str">
        <f>IF(B49-C15&gt;1,"Check","")</f>
        <v/>
      </c>
      <c r="D49" s="11"/>
      <c r="F49" s="163" t="s">
        <v>153</v>
      </c>
      <c r="G49" s="12">
        <v>27884</v>
      </c>
      <c r="H49" s="12">
        <v>27797.48</v>
      </c>
      <c r="I49" s="13">
        <f t="shared" si="7"/>
        <v>-3.1028546836895867E-3</v>
      </c>
      <c r="J49" s="163" t="s">
        <v>153</v>
      </c>
      <c r="K49" s="12">
        <v>1315</v>
      </c>
      <c r="L49" s="12">
        <v>1982.83</v>
      </c>
      <c r="M49" s="13">
        <f t="shared" si="8"/>
        <v>0.50785551330798473</v>
      </c>
      <c r="N49" s="58"/>
      <c r="O49" s="163" t="s">
        <v>153</v>
      </c>
      <c r="P49" s="12">
        <v>29228.860949999995</v>
      </c>
      <c r="Q49" s="12">
        <v>30567.1849</v>
      </c>
      <c r="R49" s="13">
        <f t="shared" si="9"/>
        <v>4.5787755885848352E-2</v>
      </c>
    </row>
    <row r="50" spans="1:18" s="1" customFormat="1" ht="12" customHeight="1" x14ac:dyDescent="0.2">
      <c r="A50" s="82" t="s">
        <v>259</v>
      </c>
      <c r="B50" s="6"/>
      <c r="C50" s="6"/>
      <c r="D50" s="6"/>
      <c r="F50" s="163" t="s">
        <v>154</v>
      </c>
      <c r="G50" s="12">
        <v>27287</v>
      </c>
      <c r="H50" s="12">
        <v>27472</v>
      </c>
      <c r="I50" s="13">
        <f t="shared" si="7"/>
        <v>6.7797852457214059E-3</v>
      </c>
      <c r="J50" s="163" t="s">
        <v>154</v>
      </c>
      <c r="K50" s="12">
        <v>1378</v>
      </c>
      <c r="L50" s="12">
        <v>1178</v>
      </c>
      <c r="M50" s="13">
        <f t="shared" si="8"/>
        <v>-0.14513788098693758</v>
      </c>
      <c r="N50" s="16"/>
      <c r="O50" s="163" t="s">
        <v>154</v>
      </c>
      <c r="P50" s="12">
        <v>28692.313950000003</v>
      </c>
      <c r="Q50" s="12">
        <v>29592.639219999997</v>
      </c>
      <c r="R50" s="13">
        <f t="shared" si="9"/>
        <v>3.1378621869568447E-2</v>
      </c>
    </row>
    <row r="51" spans="1:18" s="1" customFormat="1" ht="12" customHeight="1" thickBot="1" x14ac:dyDescent="0.25">
      <c r="A51" s="6"/>
      <c r="B51" s="6"/>
      <c r="C51" s="6"/>
      <c r="D51" s="6"/>
      <c r="F51" s="163" t="s">
        <v>155</v>
      </c>
      <c r="G51" s="12">
        <v>27759</v>
      </c>
      <c r="H51" s="12">
        <v>30031</v>
      </c>
      <c r="I51" s="13">
        <f t="shared" si="7"/>
        <v>8.1847328794264929E-2</v>
      </c>
      <c r="J51" s="163" t="s">
        <v>155</v>
      </c>
      <c r="K51" s="12">
        <v>1491</v>
      </c>
      <c r="L51" s="12">
        <v>1500</v>
      </c>
      <c r="M51" s="13">
        <f t="shared" si="8"/>
        <v>6.0362173038229373E-3</v>
      </c>
      <c r="N51" s="16"/>
      <c r="O51" s="163" t="s">
        <v>155</v>
      </c>
      <c r="P51" s="12">
        <v>29280.686549999999</v>
      </c>
      <c r="Q51" s="12">
        <v>31630</v>
      </c>
      <c r="R51" s="13">
        <f t="shared" si="9"/>
        <v>8.0234233783702091E-2</v>
      </c>
    </row>
    <row r="52" spans="1:18" s="1" customFormat="1" ht="12" customHeight="1" thickBot="1" x14ac:dyDescent="0.25">
      <c r="A52" s="142" t="s">
        <v>272</v>
      </c>
      <c r="B52" s="143"/>
      <c r="C52" s="143"/>
      <c r="D52" s="144"/>
      <c r="F52" s="163" t="s">
        <v>136</v>
      </c>
      <c r="G52" s="12">
        <v>26734</v>
      </c>
      <c r="H52" s="12">
        <v>27567</v>
      </c>
      <c r="I52" s="13">
        <f t="shared" si="7"/>
        <v>3.115882396947707E-2</v>
      </c>
      <c r="J52" s="163" t="s">
        <v>136</v>
      </c>
      <c r="K52" s="12">
        <v>1647</v>
      </c>
      <c r="L52" s="12">
        <v>2261</v>
      </c>
      <c r="M52" s="13">
        <f t="shared" si="8"/>
        <v>0.37279902853673347</v>
      </c>
      <c r="N52" s="16"/>
      <c r="O52" s="163" t="s">
        <v>136</v>
      </c>
      <c r="P52" s="12">
        <v>28449.433249999995</v>
      </c>
      <c r="Q52" s="12">
        <v>30100.882923333334</v>
      </c>
      <c r="R52" s="13">
        <f t="shared" si="9"/>
        <v>5.8048596568556959E-2</v>
      </c>
    </row>
    <row r="53" spans="1:18" s="1" customFormat="1" ht="12.75" customHeight="1" thickBot="1" x14ac:dyDescent="0.25">
      <c r="A53" s="155" t="s">
        <v>171</v>
      </c>
      <c r="B53" s="160" t="s">
        <v>172</v>
      </c>
      <c r="C53" s="161" t="s">
        <v>173</v>
      </c>
      <c r="D53" s="162" t="s">
        <v>174</v>
      </c>
      <c r="F53" s="223" t="s">
        <v>156</v>
      </c>
      <c r="G53" s="18">
        <v>27700.646999999997</v>
      </c>
      <c r="H53" s="18">
        <v>27569.848678666665</v>
      </c>
      <c r="I53" s="377">
        <f t="shared" si="7"/>
        <v>-4.7218507688044919E-3</v>
      </c>
      <c r="J53" s="223" t="s">
        <v>156</v>
      </c>
      <c r="K53" s="18">
        <v>1846.2555999999997</v>
      </c>
      <c r="L53" s="18">
        <v>2635.073779166667</v>
      </c>
      <c r="M53" s="377">
        <f t="shared" si="8"/>
        <v>0.42725296495602633</v>
      </c>
      <c r="N53" s="16"/>
      <c r="O53" s="223" t="s">
        <v>156</v>
      </c>
      <c r="P53" s="18">
        <v>29613.173300000002</v>
      </c>
      <c r="Q53" s="18">
        <v>30892.091653213913</v>
      </c>
      <c r="R53" s="377">
        <f t="shared" si="9"/>
        <v>4.3187480796389704E-2</v>
      </c>
    </row>
    <row r="54" spans="1:18" s="1" customFormat="1" ht="12" customHeight="1" thickBot="1" x14ac:dyDescent="0.25">
      <c r="A54" s="156" t="s">
        <v>129</v>
      </c>
      <c r="B54" s="145">
        <f>'[1]4-Disponibilidade'!F43</f>
        <v>9010</v>
      </c>
      <c r="C54" s="146">
        <f>'[1]4-Disponibilidade'!G43</f>
        <v>1605</v>
      </c>
      <c r="D54" s="147">
        <f t="shared" ref="D54:D59" si="10">SUM(B54:C54)</f>
        <v>10615</v>
      </c>
      <c r="O54" s="222" t="s">
        <v>184</v>
      </c>
      <c r="P54" s="380">
        <f>SUM(P42:P53)</f>
        <v>343118.24720000004</v>
      </c>
      <c r="Q54" s="380">
        <f>SUM(Q42:Q53)</f>
        <v>358631.34607021388</v>
      </c>
      <c r="R54" s="381">
        <f>Q54/P54-1</f>
        <v>4.5212106895531567E-2</v>
      </c>
    </row>
    <row r="55" spans="1:18" s="1" customFormat="1" ht="12" customHeight="1" x14ac:dyDescent="0.2">
      <c r="A55" s="157" t="s">
        <v>227</v>
      </c>
      <c r="B55" s="148">
        <f>'[1]4-Disponibilidade'!F44</f>
        <v>35336</v>
      </c>
      <c r="C55" s="149">
        <f>'[1]4-Disponibilidade'!G44</f>
        <v>1454</v>
      </c>
      <c r="D55" s="150">
        <f t="shared" si="10"/>
        <v>36790</v>
      </c>
    </row>
    <row r="56" spans="1:18" s="1" customFormat="1" ht="13.5" customHeight="1" x14ac:dyDescent="0.2">
      <c r="A56" s="157" t="s">
        <v>228</v>
      </c>
      <c r="B56" s="148">
        <f>SUM(B54:B55)</f>
        <v>44346</v>
      </c>
      <c r="C56" s="149">
        <f>SUM(C54:C55)</f>
        <v>3059</v>
      </c>
      <c r="D56" s="150">
        <f t="shared" si="10"/>
        <v>47405</v>
      </c>
    </row>
    <row r="57" spans="1:18" s="1" customFormat="1" ht="13.5" customHeight="1" x14ac:dyDescent="0.2">
      <c r="A57" s="158" t="s">
        <v>130</v>
      </c>
      <c r="B57" s="148">
        <f>'[1]4-Disponibilidade'!F46</f>
        <v>3764</v>
      </c>
      <c r="C57" s="151" t="str">
        <f>'[1]4-Disponibilidade'!G46</f>
        <v>-</v>
      </c>
      <c r="D57" s="150">
        <f t="shared" si="10"/>
        <v>3764</v>
      </c>
    </row>
    <row r="58" spans="1:18" s="1" customFormat="1" ht="13.5" customHeight="1" x14ac:dyDescent="0.2">
      <c r="A58" s="158" t="s">
        <v>131</v>
      </c>
      <c r="B58" s="148">
        <f>'[1]4-Disponibilidade'!F47</f>
        <v>8230</v>
      </c>
      <c r="C58" s="151">
        <f>'[1]4-Disponibilidade'!G47</f>
        <v>0</v>
      </c>
      <c r="D58" s="150">
        <f t="shared" si="10"/>
        <v>8230</v>
      </c>
    </row>
    <row r="59" spans="1:18" s="1" customFormat="1" ht="11.25" x14ac:dyDescent="0.2">
      <c r="A59" s="158" t="s">
        <v>229</v>
      </c>
      <c r="B59" s="148">
        <f>SUM(B57:B58)</f>
        <v>11994</v>
      </c>
      <c r="C59" s="151">
        <f>SUM(C57:C58)</f>
        <v>0</v>
      </c>
      <c r="D59" s="150">
        <f t="shared" si="10"/>
        <v>11994</v>
      </c>
    </row>
    <row r="60" spans="1:18" s="1" customFormat="1" ht="12" thickBot="1" x14ac:dyDescent="0.25">
      <c r="A60" s="159" t="s">
        <v>174</v>
      </c>
      <c r="B60" s="152">
        <f>B56+B59</f>
        <v>56340</v>
      </c>
      <c r="C60" s="153">
        <f>C56+C59</f>
        <v>3059</v>
      </c>
      <c r="D60" s="154">
        <f>SUM(B60:C60)</f>
        <v>59399</v>
      </c>
    </row>
    <row r="61" spans="1:18" s="1" customFormat="1" ht="11.25" x14ac:dyDescent="0.2">
      <c r="B61" s="103" t="str">
        <f>IF(B60-Page2!E107&gt;1,"Check","")</f>
        <v/>
      </c>
      <c r="C61" s="103" t="str">
        <f>IF(C60-Page2!P24&gt;1,"Check","")</f>
        <v/>
      </c>
    </row>
    <row r="62" spans="1:18" s="1" customFormat="1" ht="12" thickBot="1" x14ac:dyDescent="0.25"/>
    <row r="63" spans="1:18" s="1" customFormat="1" ht="13.5" thickBot="1" x14ac:dyDescent="0.25">
      <c r="A63" s="172" t="s">
        <v>278</v>
      </c>
      <c r="B63" s="21"/>
      <c r="C63" s="21"/>
      <c r="D63" s="22"/>
    </row>
    <row r="64" spans="1:18" s="1" customFormat="1" ht="11.25" x14ac:dyDescent="0.2">
      <c r="A64" s="163" t="s">
        <v>230</v>
      </c>
      <c r="B64" s="165">
        <f>-'[1]9-Energético'!$H$58/24*1000</f>
        <v>45.279166666666683</v>
      </c>
      <c r="C64" s="59"/>
      <c r="D64" s="60"/>
    </row>
    <row r="65" spans="1:4" s="1" customFormat="1" ht="11.25" x14ac:dyDescent="0.2">
      <c r="A65" s="163" t="s">
        <v>231</v>
      </c>
      <c r="B65" s="165">
        <f>-'[1]9-Energético'!$H$59/24*1000</f>
        <v>0</v>
      </c>
      <c r="C65" s="59"/>
      <c r="D65" s="60"/>
    </row>
    <row r="66" spans="1:4" s="1" customFormat="1" ht="13.5" customHeight="1" thickBot="1" x14ac:dyDescent="0.25">
      <c r="A66" s="164" t="s">
        <v>174</v>
      </c>
      <c r="B66" s="166">
        <f>SUM(B64:B65)</f>
        <v>45.279166666666683</v>
      </c>
      <c r="C66" s="81" t="str">
        <f>IF(B66-C26&gt;1,"Check","")</f>
        <v/>
      </c>
      <c r="D66" s="61"/>
    </row>
    <row r="67" spans="1:4" s="1" customFormat="1" x14ac:dyDescent="0.2">
      <c r="B67"/>
      <c r="C67"/>
      <c r="D67"/>
    </row>
    <row r="68" spans="1:4" s="1" customFormat="1" ht="13.5" thickBot="1" x14ac:dyDescent="0.25">
      <c r="A68"/>
      <c r="B68"/>
      <c r="C68"/>
      <c r="D68"/>
    </row>
    <row r="69" spans="1:4" s="1" customFormat="1" ht="13.5" thickBot="1" x14ac:dyDescent="0.25">
      <c r="A69" s="172" t="s">
        <v>273</v>
      </c>
      <c r="B69" s="170"/>
      <c r="C69" s="170"/>
      <c r="D69" s="171"/>
    </row>
    <row r="70" spans="1:4" s="1" customFormat="1" ht="11.25" x14ac:dyDescent="0.2">
      <c r="A70" s="173"/>
      <c r="B70" s="174"/>
      <c r="C70" s="96"/>
      <c r="D70" s="175"/>
    </row>
    <row r="71" spans="1:4" s="1" customFormat="1" ht="11.25" x14ac:dyDescent="0.2">
      <c r="A71" s="176" t="s">
        <v>270</v>
      </c>
      <c r="B71" s="100"/>
      <c r="C71" s="177" t="s">
        <v>268</v>
      </c>
      <c r="D71" s="51"/>
    </row>
    <row r="72" spans="1:4" s="1" customFormat="1" ht="11.25" x14ac:dyDescent="0.2">
      <c r="A72" s="176"/>
      <c r="B72" s="100"/>
      <c r="C72" s="15"/>
      <c r="D72" s="51"/>
    </row>
    <row r="73" spans="1:4" s="1" customFormat="1" ht="11.25" x14ac:dyDescent="0.2">
      <c r="A73" s="173"/>
      <c r="B73" s="15"/>
      <c r="C73" s="15"/>
      <c r="D73" s="51"/>
    </row>
    <row r="74" spans="1:4" s="1" customFormat="1" ht="11.25" x14ac:dyDescent="0.2">
      <c r="A74" s="176"/>
      <c r="B74" s="100"/>
      <c r="C74" s="15"/>
      <c r="D74" s="51"/>
    </row>
    <row r="75" spans="1:4" s="1" customFormat="1" ht="13.5" customHeight="1" x14ac:dyDescent="0.2">
      <c r="A75" s="125"/>
      <c r="B75" s="100"/>
      <c r="C75" s="6"/>
      <c r="D75" s="8"/>
    </row>
    <row r="76" spans="1:4" s="1" customFormat="1" ht="11.25" x14ac:dyDescent="0.2">
      <c r="A76" s="101"/>
      <c r="B76" s="58"/>
      <c r="C76" s="6"/>
      <c r="D76" s="8"/>
    </row>
    <row r="77" spans="1:4" s="1" customFormat="1" ht="11.25" x14ac:dyDescent="0.2">
      <c r="A77" s="176"/>
      <c r="B77" s="100"/>
      <c r="C77" s="6"/>
      <c r="D77" s="8"/>
    </row>
    <row r="78" spans="1:4" s="1" customFormat="1" ht="11.25" x14ac:dyDescent="0.2">
      <c r="A78" s="176"/>
      <c r="B78" s="100"/>
      <c r="C78" s="6"/>
      <c r="D78" s="8"/>
    </row>
    <row r="79" spans="1:4" s="1" customFormat="1" ht="11.25" x14ac:dyDescent="0.2">
      <c r="A79" s="101"/>
      <c r="B79" s="58"/>
      <c r="C79" s="6"/>
      <c r="D79" s="8"/>
    </row>
    <row r="80" spans="1:4" s="1" customFormat="1" ht="11.25" x14ac:dyDescent="0.2">
      <c r="A80" s="176"/>
      <c r="B80" s="100"/>
      <c r="C80" s="6"/>
      <c r="D80" s="8"/>
    </row>
    <row r="81" spans="1:18" s="1" customFormat="1" x14ac:dyDescent="0.2">
      <c r="A81" s="176"/>
      <c r="B81" s="100"/>
      <c r="C81" s="6"/>
      <c r="D81" s="8"/>
      <c r="J81"/>
      <c r="K81"/>
      <c r="L81"/>
      <c r="M81"/>
    </row>
    <row r="82" spans="1:18" x14ac:dyDescent="0.2">
      <c r="A82" s="101"/>
      <c r="B82" s="58"/>
      <c r="C82" s="6"/>
      <c r="D82" s="8"/>
      <c r="F82" s="1"/>
      <c r="G82" s="1"/>
      <c r="H82" s="1"/>
      <c r="I82" s="1"/>
      <c r="N82" s="1"/>
      <c r="O82" s="1"/>
      <c r="P82" s="1"/>
      <c r="Q82" s="1"/>
      <c r="R82" s="1"/>
    </row>
    <row r="83" spans="1:18" x14ac:dyDescent="0.2">
      <c r="A83" s="9"/>
      <c r="B83" s="6"/>
      <c r="C83" s="6"/>
      <c r="D83" s="8"/>
    </row>
    <row r="84" spans="1:18" x14ac:dyDescent="0.2">
      <c r="A84" s="9"/>
      <c r="B84" s="6"/>
      <c r="C84" s="6"/>
      <c r="D84" s="8"/>
      <c r="J84" s="7"/>
      <c r="K84" s="1"/>
      <c r="L84" s="1"/>
      <c r="M84" s="1"/>
    </row>
    <row r="85" spans="1:18" x14ac:dyDescent="0.2">
      <c r="A85" s="176" t="s">
        <v>271</v>
      </c>
      <c r="B85" s="6"/>
      <c r="C85" s="177" t="s">
        <v>269</v>
      </c>
      <c r="D85" s="8"/>
      <c r="J85" s="7"/>
      <c r="K85" s="1"/>
      <c r="L85" s="1"/>
      <c r="M85" s="1"/>
    </row>
    <row r="86" spans="1:18" x14ac:dyDescent="0.2">
      <c r="A86" s="9"/>
      <c r="B86" s="6"/>
      <c r="C86" s="6"/>
      <c r="D86" s="8"/>
    </row>
    <row r="87" spans="1:18" x14ac:dyDescent="0.2">
      <c r="A87" s="9"/>
      <c r="B87" s="6"/>
      <c r="C87" s="6"/>
      <c r="D87" s="8"/>
    </row>
    <row r="88" spans="1:18" x14ac:dyDescent="0.2">
      <c r="A88" s="9"/>
      <c r="B88" s="6"/>
      <c r="C88" s="6"/>
      <c r="D88" s="8"/>
    </row>
    <row r="89" spans="1:18" x14ac:dyDescent="0.2">
      <c r="A89" s="9"/>
      <c r="B89" s="6"/>
      <c r="C89" s="6"/>
      <c r="D89" s="8"/>
    </row>
    <row r="90" spans="1:18" x14ac:dyDescent="0.2">
      <c r="A90" s="9"/>
      <c r="B90" s="6"/>
      <c r="C90" s="6"/>
      <c r="D90" s="8"/>
    </row>
    <row r="91" spans="1:18" x14ac:dyDescent="0.2">
      <c r="A91" s="9"/>
      <c r="B91" s="6"/>
      <c r="C91" s="6"/>
      <c r="D91" s="8"/>
    </row>
    <row r="92" spans="1:18" x14ac:dyDescent="0.2">
      <c r="A92" s="9"/>
      <c r="B92" s="6"/>
      <c r="C92" s="6"/>
      <c r="D92" s="8"/>
    </row>
    <row r="93" spans="1:18" x14ac:dyDescent="0.2">
      <c r="A93" s="9"/>
      <c r="B93" s="6"/>
      <c r="C93" s="6"/>
      <c r="D93" s="8"/>
    </row>
    <row r="94" spans="1:18" x14ac:dyDescent="0.2">
      <c r="A94" s="9"/>
      <c r="B94" s="6"/>
      <c r="C94" s="6"/>
      <c r="D94" s="8"/>
    </row>
    <row r="95" spans="1:18" x14ac:dyDescent="0.2">
      <c r="A95" s="9"/>
      <c r="B95" s="6"/>
      <c r="C95" s="6"/>
      <c r="D95" s="8"/>
    </row>
    <row r="96" spans="1:18" x14ac:dyDescent="0.2">
      <c r="A96" s="9"/>
      <c r="B96" s="6"/>
      <c r="C96" s="6"/>
      <c r="D96" s="8"/>
    </row>
    <row r="97" spans="1:4" x14ac:dyDescent="0.2">
      <c r="A97" s="9"/>
      <c r="B97" s="6"/>
      <c r="C97" s="6"/>
      <c r="D97" s="8"/>
    </row>
    <row r="98" spans="1:4" ht="13.5" thickBot="1" x14ac:dyDescent="0.25">
      <c r="A98" s="52"/>
      <c r="B98" s="10"/>
      <c r="C98" s="10"/>
      <c r="D98" s="11"/>
    </row>
  </sheetData>
  <mergeCells count="12">
    <mergeCell ref="F40:I40"/>
    <mergeCell ref="O40:R40"/>
    <mergeCell ref="O22:R22"/>
    <mergeCell ref="J40:M40"/>
    <mergeCell ref="A1:R1"/>
    <mergeCell ref="A2:R2"/>
    <mergeCell ref="A19:D19"/>
    <mergeCell ref="A28:D28"/>
    <mergeCell ref="J6:M6"/>
    <mergeCell ref="A37:D37"/>
    <mergeCell ref="O7:R7"/>
    <mergeCell ref="A7:D7"/>
  </mergeCells>
  <printOptions horizontalCentered="1"/>
  <pageMargins left="0.1" right="0.1" top="0.4" bottom="0.25" header="0.25" footer="0.5"/>
  <pageSetup scale="5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17"/>
  <sheetViews>
    <sheetView zoomScaleNormal="100" workbookViewId="0"/>
  </sheetViews>
  <sheetFormatPr defaultRowHeight="12.75" x14ac:dyDescent="0.2"/>
  <cols>
    <col min="1" max="1" width="22.42578125" customWidth="1"/>
    <col min="2" max="2" width="25" hidden="1" customWidth="1"/>
    <col min="3" max="8" width="8.7109375" customWidth="1"/>
    <col min="9" max="10" width="9.28515625" customWidth="1"/>
    <col min="11" max="11" width="3.5703125" customWidth="1"/>
    <col min="12" max="12" width="15" customWidth="1"/>
    <col min="13" max="13" width="12.7109375" hidden="1" customWidth="1"/>
    <col min="14" max="18" width="9.7109375" customWidth="1"/>
    <col min="19" max="19" width="9.5703125" customWidth="1"/>
    <col min="22" max="22" width="12.28515625" bestFit="1" customWidth="1"/>
    <col min="23" max="23" width="4.85546875" customWidth="1"/>
  </cols>
  <sheetData>
    <row r="1" spans="1:23" ht="13.5" thickBot="1" x14ac:dyDescent="0.25">
      <c r="A1" s="172" t="s">
        <v>236</v>
      </c>
      <c r="B1" s="348"/>
      <c r="C1" s="348"/>
      <c r="D1" s="348"/>
      <c r="E1" s="348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</row>
    <row r="2" spans="1:23" ht="13.5" thickBot="1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3"/>
      <c r="S2" s="54"/>
      <c r="T2" s="54"/>
      <c r="U2" s="54"/>
      <c r="V2" s="54"/>
    </row>
    <row r="3" spans="1:23" ht="13.5" thickBot="1" x14ac:dyDescent="0.25">
      <c r="A3" s="142" t="s">
        <v>237</v>
      </c>
      <c r="B3" s="349"/>
      <c r="C3" s="349"/>
      <c r="D3" s="349"/>
      <c r="E3" s="349"/>
      <c r="F3" s="143"/>
      <c r="G3" s="143"/>
      <c r="H3" s="143"/>
      <c r="I3" s="143"/>
      <c r="J3" s="144"/>
      <c r="K3" s="54"/>
      <c r="L3" s="142" t="s">
        <v>238</v>
      </c>
      <c r="M3" s="349"/>
      <c r="N3" s="143"/>
      <c r="O3" s="143"/>
      <c r="P3" s="143"/>
      <c r="Q3" s="143"/>
      <c r="R3" s="143"/>
      <c r="S3" s="143"/>
      <c r="T3" s="143"/>
      <c r="U3" s="143"/>
      <c r="V3" s="144"/>
    </row>
    <row r="4" spans="1:23" ht="13.5" thickBot="1" x14ac:dyDescent="0.25">
      <c r="A4" s="107" t="s">
        <v>170</v>
      </c>
      <c r="B4" s="240" t="s">
        <v>170</v>
      </c>
      <c r="C4" s="229" t="s">
        <v>128</v>
      </c>
      <c r="D4" s="230" t="s">
        <v>180</v>
      </c>
      <c r="E4" s="230" t="s">
        <v>185</v>
      </c>
      <c r="F4" s="231" t="s">
        <v>179</v>
      </c>
      <c r="G4" s="232" t="s">
        <v>140</v>
      </c>
      <c r="H4" s="232" t="s">
        <v>181</v>
      </c>
      <c r="I4" s="232" t="s">
        <v>182</v>
      </c>
      <c r="J4" s="233" t="s">
        <v>183</v>
      </c>
      <c r="K4" s="382"/>
      <c r="L4" s="107" t="s">
        <v>170</v>
      </c>
      <c r="M4" s="133"/>
      <c r="N4" s="350" t="s">
        <v>128</v>
      </c>
      <c r="O4" s="351" t="s">
        <v>180</v>
      </c>
      <c r="P4" s="351" t="s">
        <v>185</v>
      </c>
      <c r="Q4" s="352" t="s">
        <v>179</v>
      </c>
      <c r="R4" s="351" t="s">
        <v>140</v>
      </c>
      <c r="S4" s="353" t="s">
        <v>181</v>
      </c>
      <c r="T4" s="350" t="s">
        <v>182</v>
      </c>
      <c r="U4" s="350" t="s">
        <v>183</v>
      </c>
      <c r="V4" s="354" t="s">
        <v>186</v>
      </c>
      <c r="W4" s="382"/>
    </row>
    <row r="5" spans="1:23" x14ac:dyDescent="0.2">
      <c r="A5" s="249" t="s">
        <v>36</v>
      </c>
      <c r="B5" s="250" t="s">
        <v>196</v>
      </c>
      <c r="C5" s="234">
        <f>VLOOKUP($B5,'[1]4-Disponibilidade'!$A$8:$C$102,2,FALSE)</f>
        <v>50.7042236328125</v>
      </c>
      <c r="D5" s="235">
        <f>IF(AND(C5=0,E5=0),"n/a",E5/C5*100)</f>
        <v>35.500001203748951</v>
      </c>
      <c r="E5" s="236">
        <f>VLOOKUP($B5,'[1]4-Disponibilidade'!$A$8:$C$102,3,FALSE)</f>
        <v>18</v>
      </c>
      <c r="F5" s="237">
        <f>IF(ISNA(VLOOKUP($A5,'[1]3-Produção'!$A$9:$C$103,2,FALSE))=TRUE,"n/a",VLOOKUP($A5,'[1]3-Produção'!$A$9:$C$103,2,FALSE))</f>
        <v>18</v>
      </c>
      <c r="G5" s="237">
        <f>IF(ISNA(VLOOKUP($A5,'[1]3-Produção'!$A$9:$C$103,3,FALSE))=TRUE,"n/a",VLOOKUP($A5,'[1]3-Produção'!$A$9:$C$103,3,FALSE))</f>
        <v>18</v>
      </c>
      <c r="H5" s="237">
        <f>IF(OR(F5="n/a",G5="n/a"),"n/a",G5-F5)</f>
        <v>0</v>
      </c>
      <c r="I5" s="237">
        <f t="shared" ref="I5:I28" si="0">IF(OR(G5="n/a",D5="n/a"),"n/a",D5-G5)</f>
        <v>17.500001203748951</v>
      </c>
      <c r="J5" s="238">
        <f t="shared" ref="J5:J28" si="1">IF(OR(G5="n/a",G5=0,E5="n/a",E5=0),"n/a",E5-G5)</f>
        <v>0</v>
      </c>
      <c r="K5" s="375" t="str">
        <f>IF(OR(C5&gt;100,D5="n/a",F5="n/a",G5="n/a",H5="n/a",I5="n/a",J5="n/a"),"X","")</f>
        <v/>
      </c>
      <c r="L5" s="249" t="s">
        <v>204</v>
      </c>
      <c r="M5" s="355" t="s">
        <v>204</v>
      </c>
      <c r="N5" s="339">
        <f>VLOOKUP($M5,'[1]4-Disponibilidade'!$E$8:$G$26,2,FALSE)</f>
        <v>87.519027709960938</v>
      </c>
      <c r="O5" s="339">
        <v>1850</v>
      </c>
      <c r="P5" s="339">
        <f>VLOOKUP($M5,'[1]4-Disponibilidade'!$E$8:$G$26,3,FALSE)</f>
        <v>575</v>
      </c>
      <c r="Q5" s="339">
        <f>VLOOKUP($L5,'[1]3-Produção'!$A$124:$C$145,2,FALSE)</f>
        <v>600</v>
      </c>
      <c r="R5" s="339">
        <f>IF(ISNA(VLOOKUP($L5,'[1]3-Produção'!$A$124:$C$145,3,FALSE)),"n/a",VLOOKUP($L5,'[1]3-Produção'!$A$124:$C$145,3,FALSE))</f>
        <v>574.33749999999998</v>
      </c>
      <c r="S5" s="340">
        <f>IF(OR(Q5="n/a",R5="n/a"),"n/a",R5-Q5)</f>
        <v>-25.662500000000023</v>
      </c>
      <c r="T5" s="340">
        <f>IF(OR(O5="n/a",P5="n/a",R5="n/a"),"n/a",O5-R5)</f>
        <v>1275.6624999999999</v>
      </c>
      <c r="U5" s="340">
        <f>IF(OR(P5="n/a",O5="n/a",R5="n/a"),"n/a",P5-R5)</f>
        <v>0.66250000000002274</v>
      </c>
      <c r="V5" s="343">
        <v>8.5</v>
      </c>
      <c r="W5" s="375" t="str">
        <f>IF(OR(N5&gt;100,N5="n/a",O5="n/a",P5="n/a",Q5="n/a",R5="n/a"),"X","")</f>
        <v/>
      </c>
    </row>
    <row r="6" spans="1:23" x14ac:dyDescent="0.2">
      <c r="A6" s="251" t="s">
        <v>37</v>
      </c>
      <c r="B6" s="250" t="s">
        <v>37</v>
      </c>
      <c r="C6" s="239">
        <f>VLOOKUP($B6,'[1]4-Disponibilidade'!$A$8:$C$102,2,FALSE)</f>
        <v>58.333332061767578</v>
      </c>
      <c r="D6" s="225">
        <f t="shared" ref="D6:D73" si="2">IF(AND(C6=0,E6=0),"n/a",E6/C6*100)</f>
        <v>48.000001046316989</v>
      </c>
      <c r="E6" s="225">
        <f>VLOOKUP($B6,'[1]4-Disponibilidade'!$A$8:$C$102,3,FALSE)</f>
        <v>28</v>
      </c>
      <c r="F6" s="227">
        <f>IF(ISNA(VLOOKUP($A6,'[1]3-Produção'!$A$9:$C$103,2,FALSE))=TRUE,"n/a",VLOOKUP($A6,'[1]3-Produção'!$A$9:$C$103,2,FALSE))</f>
        <v>10.666666666666666</v>
      </c>
      <c r="G6" s="227">
        <f>IF(ISNA(VLOOKUP($A6,'[1]3-Produção'!$A$9:$C$103,3,FALSE))=TRUE,"n/a",VLOOKUP($A6,'[1]3-Produção'!$A$9:$C$103,3,FALSE))</f>
        <v>13.370833333333335</v>
      </c>
      <c r="H6" s="227">
        <f t="shared" ref="H6:H73" si="3">IF(OR(F6="n/a",G6="n/a"),"n/a",G6-F6)</f>
        <v>2.7041666666666693</v>
      </c>
      <c r="I6" s="227">
        <f t="shared" si="0"/>
        <v>34.629167712983651</v>
      </c>
      <c r="J6" s="228">
        <f t="shared" si="1"/>
        <v>14.629166666666665</v>
      </c>
      <c r="K6" s="375" t="str">
        <f t="shared" ref="K6:K69" si="4">IF(OR(C6&gt;100,D6="n/a",F6="n/a",G6="n/a",H6="n/a",I6="n/a",J6="n/a"),"X","")</f>
        <v/>
      </c>
      <c r="L6" s="280" t="s">
        <v>61</v>
      </c>
      <c r="M6" s="356" t="s">
        <v>61</v>
      </c>
      <c r="N6" s="331">
        <f>VLOOKUP($M6,'[1]4-Disponibilidade'!$E$8:$G$26,2,FALSE)</f>
        <v>62.107624053955078</v>
      </c>
      <c r="O6" s="331">
        <f>IF(AND(N6=0,P6=0),P6,P6/N6*100)</f>
        <v>445.9999947178149</v>
      </c>
      <c r="P6" s="331">
        <f>VLOOKUP($M6,'[1]4-Disponibilidade'!$E$8:$G$26,3,FALSE)</f>
        <v>277</v>
      </c>
      <c r="Q6" s="332">
        <f>VLOOKUP($L6,'[1]3-Produção'!$A$124:$C$145,2,FALSE)</f>
        <v>280</v>
      </c>
      <c r="R6" s="332">
        <f>IF(ISNA(VLOOKUP($L6,'[1]3-Produção'!$A$124:$C$145,3,FALSE)),"n/a",VLOOKUP($L6,'[1]3-Produção'!$A$124:$C$145,3,FALSE))</f>
        <v>252.45833333333329</v>
      </c>
      <c r="S6" s="261">
        <f t="shared" ref="S6:S23" si="5">IF(OR(Q6="n/a",R6="n/a"),"n/a",R6-Q6)</f>
        <v>-27.541666666666714</v>
      </c>
      <c r="T6" s="261">
        <f t="shared" ref="T6:T23" si="6">IF(OR(O6="n/a",P6="n/a",R6="n/a"),"n/a",O6-R6)</f>
        <v>193.54166138448161</v>
      </c>
      <c r="U6" s="261">
        <f t="shared" ref="U6:U23" si="7">IF(OR(P6="n/a",O6="n/a",R6="n/a"),"n/a",P6-R6)</f>
        <v>24.541666666666714</v>
      </c>
      <c r="V6" s="344">
        <v>28.6</v>
      </c>
      <c r="W6" s="375" t="str">
        <f>IF(OR(N6&gt;100,N6="n/a",O6="n/a",P6="n/a",Q6="n/a",R6="n/a"),"X","")</f>
        <v/>
      </c>
    </row>
    <row r="7" spans="1:23" x14ac:dyDescent="0.2">
      <c r="A7" s="251" t="s">
        <v>10</v>
      </c>
      <c r="B7" s="250" t="s">
        <v>10</v>
      </c>
      <c r="C7" s="239">
        <f>VLOOKUP($B7,'[1]4-Disponibilidade'!$A$8:$C$102,2,FALSE)</f>
        <v>49.83221435546875</v>
      </c>
      <c r="D7" s="225">
        <f t="shared" si="2"/>
        <v>1192.000009798506</v>
      </c>
      <c r="E7" s="225">
        <f>VLOOKUP($B7,'[1]4-Disponibilidade'!$A$8:$C$102,3,FALSE)</f>
        <v>594</v>
      </c>
      <c r="F7" s="227">
        <f>IF(ISNA(VLOOKUP($A7,'[1]3-Produção'!$A$9:$C$103,2,FALSE))=TRUE,"n/a",VLOOKUP($A7,'[1]3-Produção'!$A$9:$C$103,2,FALSE))</f>
        <v>130</v>
      </c>
      <c r="G7" s="227">
        <f>IF(ISNA(VLOOKUP($A7,'[1]3-Produção'!$A$9:$C$103,3,FALSE))=TRUE,"n/a",VLOOKUP($A7,'[1]3-Produção'!$A$9:$C$103,3,FALSE))</f>
        <v>179.26666666666662</v>
      </c>
      <c r="H7" s="227">
        <f t="shared" si="3"/>
        <v>49.266666666666623</v>
      </c>
      <c r="I7" s="227">
        <f t="shared" si="0"/>
        <v>1012.7333431318393</v>
      </c>
      <c r="J7" s="228">
        <f t="shared" si="1"/>
        <v>414.73333333333335</v>
      </c>
      <c r="K7" s="375" t="str">
        <f t="shared" si="4"/>
        <v/>
      </c>
      <c r="L7" s="280" t="s">
        <v>78</v>
      </c>
      <c r="M7" s="356" t="s">
        <v>276</v>
      </c>
      <c r="N7" s="331" t="str">
        <f>VLOOKUP($M7,'[1]4-Disponibilidade'!$E$8:$G$26,2,FALSE)</f>
        <v>-</v>
      </c>
      <c r="O7" s="331">
        <v>450</v>
      </c>
      <c r="P7" s="331">
        <f>VLOOKUP($M7,'[1]4-Disponibilidade'!$E$8:$G$26,3,FALSE)</f>
        <v>550</v>
      </c>
      <c r="Q7" s="332">
        <f>VLOOKUP($L7,'[1]3-Produção'!$A$124:$C$145,2,FALSE)</f>
        <v>550</v>
      </c>
      <c r="R7" s="332">
        <f>IF(ISNA(VLOOKUP($L7,'[1]3-Produção'!$A$124:$C$145,3,FALSE)),"n/a",VLOOKUP($L7,'[1]3-Produção'!$A$124:$C$145,3,FALSE))</f>
        <v>550</v>
      </c>
      <c r="S7" s="261">
        <f t="shared" si="5"/>
        <v>0</v>
      </c>
      <c r="T7" s="261">
        <f t="shared" si="6"/>
        <v>-100</v>
      </c>
      <c r="U7" s="261">
        <f t="shared" si="7"/>
        <v>0</v>
      </c>
      <c r="V7" s="344">
        <v>38.950000000000003</v>
      </c>
      <c r="W7" s="375" t="str">
        <f>IF(OR(N7&gt;100,N7="n/a",O7="n/a",P7="n/a",Q7="n/a",R7="n/a"),"X","")</f>
        <v>X</v>
      </c>
    </row>
    <row r="8" spans="1:23" x14ac:dyDescent="0.2">
      <c r="A8" s="251" t="s">
        <v>38</v>
      </c>
      <c r="B8" s="250" t="s">
        <v>38</v>
      </c>
      <c r="C8" s="239">
        <f>VLOOKUP($B8,'[1]4-Disponibilidade'!$A$8:$C$102,2,FALSE)</f>
        <v>102.85713958740234</v>
      </c>
      <c r="D8" s="225">
        <f t="shared" si="2"/>
        <v>140.00000445048028</v>
      </c>
      <c r="E8" s="225">
        <f>VLOOKUP($B8,'[1]4-Disponibilidade'!$A$8:$C$102,3,FALSE)</f>
        <v>144</v>
      </c>
      <c r="F8" s="227">
        <f>IF(ISNA(VLOOKUP($A8,'[1]3-Produção'!$A$9:$C$103,2,FALSE))=TRUE,"n/a",VLOOKUP($A8,'[1]3-Produção'!$A$9:$C$103,2,FALSE))</f>
        <v>53.8125</v>
      </c>
      <c r="G8" s="227">
        <f>IF(ISNA(VLOOKUP($A8,'[1]3-Produção'!$A$9:$C$103,3,FALSE))=TRUE,"n/a",VLOOKUP($A8,'[1]3-Produção'!$A$9:$C$103,3,FALSE))</f>
        <v>110.29166666666667</v>
      </c>
      <c r="H8" s="227">
        <f t="shared" si="3"/>
        <v>56.479166666666671</v>
      </c>
      <c r="I8" s="227">
        <f t="shared" si="0"/>
        <v>29.708337783813604</v>
      </c>
      <c r="J8" s="228">
        <f t="shared" si="1"/>
        <v>33.708333333333329</v>
      </c>
      <c r="K8" s="375" t="str">
        <f t="shared" si="4"/>
        <v>X</v>
      </c>
      <c r="L8" s="280" t="s">
        <v>70</v>
      </c>
      <c r="M8" s="356" t="s">
        <v>70</v>
      </c>
      <c r="N8" s="331">
        <f>VLOOKUP($M8,'[1]4-Disponibilidade'!$E$8:$G$26,2,FALSE)</f>
        <v>97.796142578125</v>
      </c>
      <c r="O8" s="331">
        <f t="shared" ref="O8:O23" si="8">IF(AND(N8=0,P8=0),P8,P8/N8*100)</f>
        <v>363.00000249642386</v>
      </c>
      <c r="P8" s="331">
        <f>VLOOKUP($M8,'[1]4-Disponibilidade'!$E$8:$G$26,3,FALSE)</f>
        <v>355</v>
      </c>
      <c r="Q8" s="332">
        <f>VLOOKUP($L8,'[1]3-Produção'!$A$124:$C$145,2,FALSE)</f>
        <v>180</v>
      </c>
      <c r="R8" s="332">
        <f>IF(ISNA(VLOOKUP($L8,'[1]3-Produção'!$A$124:$C$145,3,FALSE)),"n/a",VLOOKUP($L8,'[1]3-Produção'!$A$124:$C$145,3,FALSE))</f>
        <v>263.12916666666666</v>
      </c>
      <c r="S8" s="261">
        <f t="shared" si="5"/>
        <v>83.129166666666663</v>
      </c>
      <c r="T8" s="261">
        <f t="shared" si="6"/>
        <v>99.870835829757198</v>
      </c>
      <c r="U8" s="261">
        <f t="shared" si="7"/>
        <v>91.870833333333337</v>
      </c>
      <c r="V8" s="344">
        <v>45.4</v>
      </c>
      <c r="W8" s="375" t="str">
        <f>IF(OR(N8&gt;100,N8="n/a",O8="n/a",P8="n/a",Q8="n/a",R8="n/a"),"X","")</f>
        <v/>
      </c>
    </row>
    <row r="9" spans="1:23" x14ac:dyDescent="0.2">
      <c r="A9" s="251" t="s">
        <v>39</v>
      </c>
      <c r="B9" s="250" t="s">
        <v>39</v>
      </c>
      <c r="C9" s="239">
        <f>VLOOKUP($B9,'[1]4-Disponibilidade'!$A$8:$C$102,2,FALSE)</f>
        <v>100</v>
      </c>
      <c r="D9" s="225">
        <f t="shared" si="2"/>
        <v>210</v>
      </c>
      <c r="E9" s="225">
        <f>VLOOKUP($B9,'[1]4-Disponibilidade'!$A$8:$C$102,3,FALSE)</f>
        <v>210</v>
      </c>
      <c r="F9" s="227">
        <f>IF(ISNA(VLOOKUP($A9,'[1]3-Produção'!$A$9:$C$103,2,FALSE))=TRUE,"n/a",VLOOKUP($A9,'[1]3-Produção'!$A$9:$C$103,2,FALSE))</f>
        <v>107.8125</v>
      </c>
      <c r="G9" s="227">
        <f>IF(ISNA(VLOOKUP($A9,'[1]3-Produção'!$A$9:$C$103,3,FALSE))=TRUE,"n/a",VLOOKUP($A9,'[1]3-Produção'!$A$9:$C$103,3,FALSE))</f>
        <v>121.02083333333336</v>
      </c>
      <c r="H9" s="227">
        <f t="shared" si="3"/>
        <v>13.208333333333357</v>
      </c>
      <c r="I9" s="227">
        <f t="shared" si="0"/>
        <v>88.979166666666643</v>
      </c>
      <c r="J9" s="228">
        <f t="shared" si="1"/>
        <v>88.979166666666643</v>
      </c>
      <c r="K9" s="375" t="str">
        <f t="shared" si="4"/>
        <v/>
      </c>
      <c r="L9" s="280" t="s">
        <v>68</v>
      </c>
      <c r="M9" s="356" t="s">
        <v>68</v>
      </c>
      <c r="N9" s="331">
        <f>VLOOKUP($M9,'[1]4-Disponibilidade'!$E$8:$G$26,2,FALSE)</f>
        <v>95.419845581054688</v>
      </c>
      <c r="O9" s="331">
        <f t="shared" si="8"/>
        <v>262.00000479736337</v>
      </c>
      <c r="P9" s="331">
        <f>VLOOKUP($M9,'[1]4-Disponibilidade'!$E$8:$G$26,3,FALSE)</f>
        <v>250</v>
      </c>
      <c r="Q9" s="332">
        <f>VLOOKUP($L9,'[1]3-Produção'!$A$124:$C$145,2,FALSE)</f>
        <v>160</v>
      </c>
      <c r="R9" s="332">
        <f>IF(ISNA(VLOOKUP($L9,'[1]3-Produção'!$A$124:$C$145,3,FALSE)),"n/a",VLOOKUP($L9,'[1]3-Produção'!$A$124:$C$145,3,FALSE))</f>
        <v>207.6791666666667</v>
      </c>
      <c r="S9" s="261">
        <f t="shared" si="5"/>
        <v>47.679166666666703</v>
      </c>
      <c r="T9" s="261">
        <f t="shared" si="6"/>
        <v>54.320838130696671</v>
      </c>
      <c r="U9" s="261">
        <f t="shared" si="7"/>
        <v>42.320833333333297</v>
      </c>
      <c r="V9" s="344">
        <v>53.31</v>
      </c>
      <c r="W9" s="375" t="str">
        <f>IF(OR(N9&gt;100,N9="n/a",O9="n/a",P9="n/a",Q9="n/a",R9="n/a"),"X","")</f>
        <v/>
      </c>
    </row>
    <row r="10" spans="1:23" x14ac:dyDescent="0.2">
      <c r="A10" s="251" t="s">
        <v>40</v>
      </c>
      <c r="B10" s="250" t="s">
        <v>40</v>
      </c>
      <c r="C10" s="239">
        <f>VLOOKUP($B10,'[1]4-Disponibilidade'!$A$8:$C$102,2,FALSE)</f>
        <v>98.076919555664063</v>
      </c>
      <c r="D10" s="225">
        <f t="shared" si="2"/>
        <v>52.000001866957788</v>
      </c>
      <c r="E10" s="225">
        <f>VLOOKUP($B10,'[1]4-Disponibilidade'!$A$8:$C$102,3,FALSE)</f>
        <v>51</v>
      </c>
      <c r="F10" s="227">
        <f>IF(ISNA(VLOOKUP($A10,'[1]3-Produção'!$A$9:$C$103,2,FALSE))=TRUE,"n/a",VLOOKUP($A10,'[1]3-Produção'!$A$9:$C$103,2,FALSE))</f>
        <v>18</v>
      </c>
      <c r="G10" s="227">
        <f>IF(ISNA(VLOOKUP($A10,'[1]3-Produção'!$A$9:$C$103,3,FALSE))=TRUE,"n/a",VLOOKUP($A10,'[1]3-Produção'!$A$9:$C$103,3,FALSE))</f>
        <v>23.1</v>
      </c>
      <c r="H10" s="227">
        <f t="shared" si="3"/>
        <v>5.1000000000000014</v>
      </c>
      <c r="I10" s="227">
        <f t="shared" si="0"/>
        <v>28.900001866957787</v>
      </c>
      <c r="J10" s="228">
        <f t="shared" si="1"/>
        <v>27.9</v>
      </c>
      <c r="K10" s="375" t="str">
        <f t="shared" si="4"/>
        <v/>
      </c>
      <c r="L10" s="280" t="s">
        <v>67</v>
      </c>
      <c r="M10" s="356" t="s">
        <v>67</v>
      </c>
      <c r="N10" s="331">
        <f>VLOOKUP($M10,'[1]4-Disponibilidade'!$E$8:$G$26,2,FALSE)</f>
        <v>57.327587127685547</v>
      </c>
      <c r="O10" s="331">
        <f>IF(AND(N10=0,P10=0),P10,P10/N10*100)</f>
        <v>231.99999627364315</v>
      </c>
      <c r="P10" s="331">
        <f>VLOOKUP($M10,'[1]4-Disponibilidade'!$E$8:$G$26,3,FALSE)</f>
        <v>133</v>
      </c>
      <c r="Q10" s="332">
        <f>VLOOKUP($L10,'[1]3-Produção'!$A$124:$C$145,2,FALSE)</f>
        <v>91</v>
      </c>
      <c r="R10" s="332">
        <f>IF(ISNA(VLOOKUP($L10,'[1]3-Produção'!$A$124:$C$145,3,FALSE)),"n/a",VLOOKUP($L10,'[1]3-Produção'!$A$124:$C$145,3,FALSE))</f>
        <v>111.875</v>
      </c>
      <c r="S10" s="261">
        <f>IF(OR(Q10="n/a",R10="n/a"),"n/a",R10-Q10)</f>
        <v>20.875</v>
      </c>
      <c r="T10" s="261">
        <f>IF(OR(O10="n/a",P10="n/a",R10="n/a"),"n/a",O10-R10)</f>
        <v>120.12499627364315</v>
      </c>
      <c r="U10" s="261">
        <f>IF(OR(P10="n/a",O10="n/a",R10="n/a"),"n/a",P10-R10)</f>
        <v>21.125</v>
      </c>
      <c r="V10" s="344">
        <v>57.3</v>
      </c>
      <c r="W10" s="375" t="str">
        <f>IF(OR(N11&gt;100,N11="n/a",O11="n/a",P11="n/a",Q11="n/a",R11="n/a"),"X","")</f>
        <v/>
      </c>
    </row>
    <row r="11" spans="1:23" x14ac:dyDescent="0.2">
      <c r="A11" s="251" t="s">
        <v>41</v>
      </c>
      <c r="B11" s="250" t="s">
        <v>41</v>
      </c>
      <c r="C11" s="239">
        <f>VLOOKUP($B11,'[1]4-Disponibilidade'!$A$8:$C$102,2,FALSE)</f>
        <v>85.141510009765625</v>
      </c>
      <c r="D11" s="225">
        <f t="shared" si="2"/>
        <v>423.99999713253118</v>
      </c>
      <c r="E11" s="225">
        <f>VLOOKUP($B11,'[1]4-Disponibilidade'!$A$8:$C$102,3,FALSE)</f>
        <v>361</v>
      </c>
      <c r="F11" s="227">
        <f>IF(ISNA(VLOOKUP($A11,'[1]3-Produção'!$A$9:$C$103,2,FALSE))=TRUE,"n/a",VLOOKUP($A11,'[1]3-Produção'!$A$9:$C$103,2,FALSE))</f>
        <v>252.70833333333334</v>
      </c>
      <c r="G11" s="227">
        <f>IF(ISNA(VLOOKUP($A11,'[1]3-Produção'!$A$9:$C$103,3,FALSE))=TRUE,"n/a",VLOOKUP($A11,'[1]3-Produção'!$A$9:$C$103,3,FALSE))</f>
        <v>282.6875</v>
      </c>
      <c r="H11" s="227">
        <f t="shared" si="3"/>
        <v>29.979166666666657</v>
      </c>
      <c r="I11" s="227">
        <f t="shared" si="0"/>
        <v>141.31249713253118</v>
      </c>
      <c r="J11" s="228">
        <f t="shared" si="1"/>
        <v>78.3125</v>
      </c>
      <c r="K11" s="375" t="str">
        <f t="shared" si="4"/>
        <v/>
      </c>
      <c r="L11" s="280" t="s">
        <v>65</v>
      </c>
      <c r="M11" s="356" t="s">
        <v>65</v>
      </c>
      <c r="N11" s="331">
        <f>VLOOKUP($M11,'[1]4-Disponibilidade'!$E$8:$G$26,2,FALSE)</f>
        <v>40.277778625488281</v>
      </c>
      <c r="O11" s="331">
        <f t="shared" si="8"/>
        <v>71.999998484644422</v>
      </c>
      <c r="P11" s="331">
        <f>VLOOKUP($M11,'[1]4-Disponibilidade'!$E$8:$G$26,3,FALSE)</f>
        <v>29</v>
      </c>
      <c r="Q11" s="332">
        <f>VLOOKUP($L11,'[1]3-Produção'!$A$124:$C$145,2,FALSE)</f>
        <v>25</v>
      </c>
      <c r="R11" s="332">
        <f>IF(ISNA(VLOOKUP($L11,'[1]3-Produção'!$A$124:$C$145,3,FALSE)),"n/a",VLOOKUP($L11,'[1]3-Produção'!$A$124:$C$145,3,FALSE))</f>
        <v>27.587499999999999</v>
      </c>
      <c r="S11" s="261">
        <f t="shared" si="5"/>
        <v>2.5874999999999986</v>
      </c>
      <c r="T11" s="261">
        <f t="shared" si="6"/>
        <v>44.412498484644424</v>
      </c>
      <c r="U11" s="261">
        <f t="shared" si="7"/>
        <v>1.4125000000000014</v>
      </c>
      <c r="V11" s="344">
        <v>57.65</v>
      </c>
      <c r="W11" s="375" t="str">
        <f>IF(OR(N10&gt;100,N10="n/a",O10="n/a",P10="n/a",Q10="n/a",R10="n/a"),"X","")</f>
        <v/>
      </c>
    </row>
    <row r="12" spans="1:23" x14ac:dyDescent="0.2">
      <c r="A12" s="251" t="s">
        <v>42</v>
      </c>
      <c r="B12" s="250" t="s">
        <v>42</v>
      </c>
      <c r="C12" s="239">
        <f>VLOOKUP($B12,'[1]4-Disponibilidade'!$A$8:$C$102,2,FALSE)</f>
        <v>66.666664123535156</v>
      </c>
      <c r="D12" s="225">
        <f t="shared" si="2"/>
        <v>408.00001556396541</v>
      </c>
      <c r="E12" s="225">
        <f>VLOOKUP($B12,'[1]4-Disponibilidade'!$A$8:$C$102,3,FALSE)</f>
        <v>272</v>
      </c>
      <c r="F12" s="227">
        <f>IF(ISNA(VLOOKUP($A12,'[1]3-Produção'!$A$9:$C$103,2,FALSE))=TRUE,"n/a",VLOOKUP($A12,'[1]3-Produção'!$A$9:$C$103,2,FALSE))</f>
        <v>118.33333333333333</v>
      </c>
      <c r="G12" s="227">
        <f>IF(ISNA(VLOOKUP($A12,'[1]3-Produção'!$A$9:$C$103,3,FALSE))=TRUE,"n/a",VLOOKUP($A12,'[1]3-Produção'!$A$9:$C$103,3,FALSE))</f>
        <v>142.64166666666668</v>
      </c>
      <c r="H12" s="227">
        <f t="shared" si="3"/>
        <v>24.308333333333351</v>
      </c>
      <c r="I12" s="227">
        <f t="shared" si="0"/>
        <v>265.3583488972987</v>
      </c>
      <c r="J12" s="228">
        <f t="shared" si="1"/>
        <v>129.35833333333332</v>
      </c>
      <c r="K12" s="375" t="str">
        <f t="shared" si="4"/>
        <v/>
      </c>
      <c r="L12" s="251" t="s">
        <v>53</v>
      </c>
      <c r="M12" s="357" t="s">
        <v>53</v>
      </c>
      <c r="N12" s="330">
        <f>VLOOKUP($M12,'[1]4-Disponibilidade'!$E$8:$G$26,2,FALSE)</f>
        <v>87.5</v>
      </c>
      <c r="O12" s="330">
        <f t="shared" si="8"/>
        <v>32</v>
      </c>
      <c r="P12" s="330">
        <f>VLOOKUP($M12,'[1]4-Disponibilidade'!$E$8:$G$26,3,FALSE)</f>
        <v>28</v>
      </c>
      <c r="Q12" s="333">
        <f>VLOOKUP($L12,'[1]3-Produção'!$A$124:$C$145,2,FALSE)</f>
        <v>30</v>
      </c>
      <c r="R12" s="333">
        <f>IF(ISNA(VLOOKUP($L12,'[1]3-Produção'!$A$124:$C$145,3,FALSE)),"n/a",VLOOKUP($L12,'[1]3-Produção'!$A$124:$C$145,3,FALSE))</f>
        <v>28</v>
      </c>
      <c r="S12" s="227">
        <f t="shared" si="5"/>
        <v>-2</v>
      </c>
      <c r="T12" s="227">
        <f t="shared" si="6"/>
        <v>4</v>
      </c>
      <c r="U12" s="227">
        <f t="shared" si="7"/>
        <v>0</v>
      </c>
      <c r="V12" s="345">
        <v>69.349999999999994</v>
      </c>
      <c r="W12" s="375" t="str">
        <f t="shared" ref="W12:W23" si="9">IF(OR(N12&gt;100,N12="n/a",O12="n/a",P12="n/a",Q12="n/a",R12="n/a"),"X","")</f>
        <v/>
      </c>
    </row>
    <row r="13" spans="1:23" x14ac:dyDescent="0.2">
      <c r="A13" s="252" t="s">
        <v>11</v>
      </c>
      <c r="B13" s="253" t="s">
        <v>11</v>
      </c>
      <c r="C13" s="239">
        <f>VLOOKUP($B13,'[1]4-Disponibilidade'!$A$8:$C$102,2,FALSE)</f>
        <v>82.352943420410156</v>
      </c>
      <c r="D13" s="225">
        <f t="shared" si="2"/>
        <v>509.99998610360319</v>
      </c>
      <c r="E13" s="225">
        <f>VLOOKUP($B13,'[1]4-Disponibilidade'!$A$8:$C$102,3,FALSE)</f>
        <v>420</v>
      </c>
      <c r="F13" s="227">
        <f>IF(ISNA(VLOOKUP($A13,'[1]3-Produção'!$A$9:$C$103,2,FALSE))=TRUE,"n/a",VLOOKUP($A13,'[1]3-Produção'!$A$9:$C$103,2,FALSE))</f>
        <v>125</v>
      </c>
      <c r="G13" s="227">
        <f>IF(ISNA(VLOOKUP($A13,'[1]3-Produção'!$A$9:$C$103,3,FALSE))=TRUE,"n/a",VLOOKUP($A13,'[1]3-Produção'!$A$9:$C$103,3,FALSE))</f>
        <v>169.45416666666671</v>
      </c>
      <c r="H13" s="227">
        <f t="shared" si="3"/>
        <v>44.454166666666708</v>
      </c>
      <c r="I13" s="227">
        <f t="shared" si="0"/>
        <v>340.54581943693648</v>
      </c>
      <c r="J13" s="228">
        <f t="shared" si="1"/>
        <v>250.54583333333329</v>
      </c>
      <c r="K13" s="375" t="str">
        <f t="shared" si="4"/>
        <v/>
      </c>
      <c r="L13" s="251" t="s">
        <v>47</v>
      </c>
      <c r="M13" s="357" t="s">
        <v>47</v>
      </c>
      <c r="N13" s="330">
        <f>VLOOKUP($M13,'[1]4-Disponibilidade'!$E$8:$G$26,2,FALSE)</f>
        <v>99.771514892578125</v>
      </c>
      <c r="O13" s="330">
        <f t="shared" si="8"/>
        <v>131.30000094821145</v>
      </c>
      <c r="P13" s="330">
        <f>VLOOKUP($M13,'[1]4-Disponibilidade'!$E$8:$G$26,3,FALSE)</f>
        <v>131</v>
      </c>
      <c r="Q13" s="333">
        <f>VLOOKUP($L13,'[1]3-Produção'!$A$124:$C$145,2,FALSE)</f>
        <v>131</v>
      </c>
      <c r="R13" s="333">
        <f>IF(ISNA(VLOOKUP($L13,'[1]3-Produção'!$A$124:$C$145,3,FALSE)),"n/a",VLOOKUP($L13,'[1]3-Produção'!$A$124:$C$145,3,FALSE))</f>
        <v>130.82083333333335</v>
      </c>
      <c r="S13" s="227">
        <f t="shared" si="5"/>
        <v>-0.17916666666664582</v>
      </c>
      <c r="T13" s="227">
        <f t="shared" si="6"/>
        <v>0.47916761487809367</v>
      </c>
      <c r="U13" s="227">
        <f t="shared" si="7"/>
        <v>0.17916666666664582</v>
      </c>
      <c r="V13" s="345">
        <v>78.13</v>
      </c>
      <c r="W13" s="375" t="str">
        <f t="shared" si="9"/>
        <v/>
      </c>
    </row>
    <row r="14" spans="1:23" x14ac:dyDescent="0.2">
      <c r="A14" s="251" t="s">
        <v>43</v>
      </c>
      <c r="B14" s="250" t="s">
        <v>43</v>
      </c>
      <c r="C14" s="239">
        <f>VLOOKUP($B14,'[1]4-Disponibilidade'!$A$8:$C$102,2,FALSE)</f>
        <v>50.886661529541016</v>
      </c>
      <c r="D14" s="225">
        <f t="shared" si="2"/>
        <v>129.69999999250354</v>
      </c>
      <c r="E14" s="225">
        <f>VLOOKUP($B14,'[1]4-Disponibilidade'!$A$8:$C$102,3,FALSE)</f>
        <v>66</v>
      </c>
      <c r="F14" s="227">
        <f>IF(ISNA(VLOOKUP($A14,'[1]3-Produção'!$A$9:$C$103,2,FALSE))=TRUE,"n/a",VLOOKUP($A14,'[1]3-Produção'!$A$9:$C$103,2,FALSE))</f>
        <v>52.916666666666664</v>
      </c>
      <c r="G14" s="227">
        <f>IF(ISNA(VLOOKUP($A14,'[1]3-Produção'!$A$9:$C$103,3,FALSE))=TRUE,"n/a",VLOOKUP($A14,'[1]3-Produção'!$A$9:$C$103,3,FALSE))</f>
        <v>53.595833333333331</v>
      </c>
      <c r="H14" s="227">
        <f t="shared" si="3"/>
        <v>0.67916666666666714</v>
      </c>
      <c r="I14" s="227">
        <f t="shared" si="0"/>
        <v>76.104166659170204</v>
      </c>
      <c r="J14" s="228">
        <f t="shared" si="1"/>
        <v>12.404166666666669</v>
      </c>
      <c r="K14" s="375" t="str">
        <f t="shared" si="4"/>
        <v/>
      </c>
      <c r="L14" s="280" t="s">
        <v>62</v>
      </c>
      <c r="M14" s="356" t="s">
        <v>62</v>
      </c>
      <c r="N14" s="334">
        <f>VLOOKUP($M14,'[1]4-Disponibilidade'!$E$8:$G$26,2,FALSE)</f>
        <v>30</v>
      </c>
      <c r="O14" s="331">
        <f t="shared" si="8"/>
        <v>20</v>
      </c>
      <c r="P14" s="331">
        <f>VLOOKUP($M14,'[1]4-Disponibilidade'!$E$8:$G$26,3,FALSE)</f>
        <v>6</v>
      </c>
      <c r="Q14" s="332">
        <f>VLOOKUP($L14,'[1]3-Produção'!$A$124:$C$145,2,FALSE)</f>
        <v>6</v>
      </c>
      <c r="R14" s="332">
        <f>IF(ISNA(VLOOKUP($L14,'[1]3-Produção'!$A$124:$C$145,3,FALSE)),"n/a",VLOOKUP($L14,'[1]3-Produção'!$A$124:$C$145,3,FALSE))</f>
        <v>4.4916666666666663</v>
      </c>
      <c r="S14" s="261">
        <f t="shared" si="5"/>
        <v>-1.5083333333333337</v>
      </c>
      <c r="T14" s="261">
        <f t="shared" si="6"/>
        <v>15.508333333333333</v>
      </c>
      <c r="U14" s="261">
        <f t="shared" si="7"/>
        <v>1.5083333333333337</v>
      </c>
      <c r="V14" s="344">
        <v>78.52</v>
      </c>
      <c r="W14" s="375" t="str">
        <f t="shared" si="9"/>
        <v/>
      </c>
    </row>
    <row r="15" spans="1:23" x14ac:dyDescent="0.2">
      <c r="A15" s="251" t="s">
        <v>44</v>
      </c>
      <c r="B15" s="250" t="s">
        <v>44</v>
      </c>
      <c r="C15" s="239">
        <f>VLOOKUP($B15,'[1]4-Disponibilidade'!$A$8:$C$102,2,FALSE)</f>
        <v>100</v>
      </c>
      <c r="D15" s="225">
        <f t="shared" si="2"/>
        <v>102</v>
      </c>
      <c r="E15" s="225">
        <f>VLOOKUP($B15,'[1]4-Disponibilidade'!$A$8:$C$102,3,FALSE)</f>
        <v>102</v>
      </c>
      <c r="F15" s="227">
        <f>IF(ISNA(VLOOKUP($A15,'[1]3-Produção'!$A$9:$C$103,2,FALSE))=TRUE,"n/a",VLOOKUP($A15,'[1]3-Produção'!$A$9:$C$103,2,FALSE))</f>
        <v>69.6875</v>
      </c>
      <c r="G15" s="227">
        <f>IF(ISNA(VLOOKUP($A15,'[1]3-Produção'!$A$9:$C$103,3,FALSE))=TRUE,"n/a",VLOOKUP($A15,'[1]3-Produção'!$A$9:$C$103,3,FALSE))</f>
        <v>70</v>
      </c>
      <c r="H15" s="227">
        <f t="shared" si="3"/>
        <v>0.3125</v>
      </c>
      <c r="I15" s="227">
        <f t="shared" si="0"/>
        <v>32</v>
      </c>
      <c r="J15" s="228">
        <f t="shared" si="1"/>
        <v>32</v>
      </c>
      <c r="K15" s="375" t="str">
        <f t="shared" si="4"/>
        <v/>
      </c>
      <c r="L15" s="280" t="s">
        <v>76</v>
      </c>
      <c r="M15" s="356" t="s">
        <v>205</v>
      </c>
      <c r="N15" s="334">
        <f>VLOOKUP($M15,'[1]4-Disponibilidade'!$E$8:$G$26,2,FALSE)</f>
        <v>29.411764144897461</v>
      </c>
      <c r="O15" s="331">
        <f t="shared" si="8"/>
        <v>17.000000324249275</v>
      </c>
      <c r="P15" s="334">
        <f>VLOOKUP($M15,'[1]4-Disponibilidade'!$E$8:$G$26,3,FALSE)</f>
        <v>5</v>
      </c>
      <c r="Q15" s="332">
        <f>VLOOKUP($L15,'[1]3-Produção'!$A$124:$C$145,2,FALSE)</f>
        <v>5</v>
      </c>
      <c r="R15" s="332">
        <f>IF(ISNA(VLOOKUP($L15,'[1]3-Produção'!$A$124:$C$145,3,FALSE)),"n/a",VLOOKUP($L15,'[1]3-Produção'!$A$124:$C$145,3,FALSE))</f>
        <v>0</v>
      </c>
      <c r="S15" s="261">
        <f t="shared" si="5"/>
        <v>-5</v>
      </c>
      <c r="T15" s="261">
        <f t="shared" si="6"/>
        <v>17.000000324249275</v>
      </c>
      <c r="U15" s="261">
        <f t="shared" si="7"/>
        <v>5</v>
      </c>
      <c r="V15" s="344">
        <v>87.33</v>
      </c>
      <c r="W15" s="375" t="str">
        <f t="shared" si="9"/>
        <v/>
      </c>
    </row>
    <row r="16" spans="1:23" x14ac:dyDescent="0.2">
      <c r="A16" s="251" t="s">
        <v>45</v>
      </c>
      <c r="B16" s="250" t="s">
        <v>45</v>
      </c>
      <c r="C16" s="239">
        <f>VLOOKUP($B16,'[1]4-Disponibilidade'!$A$8:$C$102,2,FALSE)</f>
        <v>93.976608276367188</v>
      </c>
      <c r="D16" s="225">
        <f t="shared" si="2"/>
        <v>1709.9999983763205</v>
      </c>
      <c r="E16" s="225">
        <f>VLOOKUP($B16,'[1]4-Disponibilidade'!$A$8:$C$102,3,FALSE)</f>
        <v>1607</v>
      </c>
      <c r="F16" s="227">
        <f>IF(ISNA(VLOOKUP($A16,'[1]3-Produção'!$A$9:$C$103,2,FALSE))=TRUE,"n/a",VLOOKUP($A16,'[1]3-Produção'!$A$9:$C$103,2,FALSE))</f>
        <v>1528.75</v>
      </c>
      <c r="G16" s="227">
        <f>IF(ISNA(VLOOKUP($A16,'[1]3-Produção'!$A$9:$C$103,3,FALSE))=TRUE,"n/a",VLOOKUP($A16,'[1]3-Produção'!$A$9:$C$103,3,FALSE))</f>
        <v>1541.9416666666668</v>
      </c>
      <c r="H16" s="227">
        <f t="shared" si="3"/>
        <v>13.191666666666833</v>
      </c>
      <c r="I16" s="227">
        <f t="shared" si="0"/>
        <v>168.05833170965366</v>
      </c>
      <c r="J16" s="228">
        <f t="shared" si="1"/>
        <v>65.058333333333167</v>
      </c>
      <c r="K16" s="375" t="str">
        <f t="shared" si="4"/>
        <v/>
      </c>
      <c r="L16" s="251" t="s">
        <v>55</v>
      </c>
      <c r="M16" s="357" t="s">
        <v>55</v>
      </c>
      <c r="N16" s="330">
        <f>VLOOKUP($M16,'[1]4-Disponibilidade'!$E$8:$G$26,2,FALSE)</f>
        <v>64.96710205078125</v>
      </c>
      <c r="O16" s="330">
        <f t="shared" si="8"/>
        <v>608.00003006329268</v>
      </c>
      <c r="P16" s="330">
        <f>VLOOKUP($M16,'[1]4-Disponibilidade'!$E$8:$G$26,3,FALSE)</f>
        <v>395</v>
      </c>
      <c r="Q16" s="333">
        <f>VLOOKUP($L16,'[1]3-Produção'!$A$124:$C$145,2,FALSE)</f>
        <v>430</v>
      </c>
      <c r="R16" s="333">
        <f>IF(ISNA(VLOOKUP($L16,'[1]3-Produção'!$A$124:$C$145,3,FALSE)),"n/a",VLOOKUP($L16,'[1]3-Produção'!$A$124:$C$145,3,FALSE))</f>
        <v>388.99583333333334</v>
      </c>
      <c r="S16" s="227">
        <f t="shared" si="5"/>
        <v>-41.004166666666663</v>
      </c>
      <c r="T16" s="227">
        <f t="shared" si="6"/>
        <v>219.00419672995935</v>
      </c>
      <c r="U16" s="227">
        <f t="shared" si="7"/>
        <v>6.0041666666666629</v>
      </c>
      <c r="V16" s="345">
        <v>97.11</v>
      </c>
      <c r="W16" s="375" t="str">
        <f t="shared" si="9"/>
        <v/>
      </c>
    </row>
    <row r="17" spans="1:27" x14ac:dyDescent="0.2">
      <c r="A17" s="251" t="s">
        <v>46</v>
      </c>
      <c r="B17" s="250" t="s">
        <v>46</v>
      </c>
      <c r="C17" s="239">
        <f>VLOOKUP($B17,'[1]4-Disponibilidade'!$A$8:$C$102,2,FALSE)</f>
        <v>65.359481811523438</v>
      </c>
      <c r="D17" s="225">
        <f t="shared" si="2"/>
        <v>61.199995610962233</v>
      </c>
      <c r="E17" s="225">
        <f>VLOOKUP($B17,'[1]4-Disponibilidade'!$A$8:$C$102,3,FALSE)</f>
        <v>40</v>
      </c>
      <c r="F17" s="227">
        <f>IF(ISNA(VLOOKUP($A17,'[1]3-Produção'!$A$9:$C$103,2,FALSE))=TRUE,"n/a",VLOOKUP($A17,'[1]3-Produção'!$A$9:$C$103,2,FALSE))</f>
        <v>26</v>
      </c>
      <c r="G17" s="227">
        <f>IF(ISNA(VLOOKUP($A17,'[1]3-Produção'!$A$9:$C$103,3,FALSE))=TRUE,"n/a",VLOOKUP($A17,'[1]3-Produção'!$A$9:$C$103,3,FALSE))</f>
        <v>25.045833333333334</v>
      </c>
      <c r="H17" s="227">
        <f t="shared" si="3"/>
        <v>-0.95416666666666572</v>
      </c>
      <c r="I17" s="227">
        <f t="shared" si="0"/>
        <v>36.154162277628899</v>
      </c>
      <c r="J17" s="228">
        <f t="shared" si="1"/>
        <v>14.954166666666666</v>
      </c>
      <c r="K17" s="375" t="str">
        <f t="shared" si="4"/>
        <v/>
      </c>
      <c r="L17" s="251" t="s">
        <v>50</v>
      </c>
      <c r="M17" s="357" t="s">
        <v>50</v>
      </c>
      <c r="N17" s="330">
        <f>VLOOKUP($M17,'[1]4-Disponibilidade'!$E$8:$G$26,2,FALSE)</f>
        <v>68.085105895996094</v>
      </c>
      <c r="O17" s="330">
        <f t="shared" si="8"/>
        <v>470.00000336170194</v>
      </c>
      <c r="P17" s="330">
        <f>VLOOKUP($M17,'[1]4-Disponibilidade'!$E$8:$G$26,3,FALSE)</f>
        <v>320</v>
      </c>
      <c r="Q17" s="333">
        <f>VLOOKUP($L17,'[1]3-Produção'!$A$124:$C$145,2,FALSE)</f>
        <v>245</v>
      </c>
      <c r="R17" s="333">
        <f>IF(ISNA(VLOOKUP($L17,'[1]3-Produção'!$A$124:$C$145,3,FALSE)),"n/a",VLOOKUP($L17,'[1]3-Produção'!$A$124:$C$145,3,FALSE))</f>
        <v>231.97083333333339</v>
      </c>
      <c r="S17" s="227">
        <f t="shared" si="5"/>
        <v>-13.029166666666612</v>
      </c>
      <c r="T17" s="227">
        <f t="shared" si="6"/>
        <v>238.02917002836855</v>
      </c>
      <c r="U17" s="227">
        <f t="shared" si="7"/>
        <v>88.029166666666612</v>
      </c>
      <c r="V17" s="345">
        <v>115.27</v>
      </c>
      <c r="W17" s="375" t="str">
        <f t="shared" si="9"/>
        <v/>
      </c>
    </row>
    <row r="18" spans="1:27" x14ac:dyDescent="0.2">
      <c r="A18" s="254" t="s">
        <v>48</v>
      </c>
      <c r="B18" s="255" t="s">
        <v>48</v>
      </c>
      <c r="C18" s="239">
        <f>VLOOKUP($B18,'[1]4-Disponibilidade'!$A$8:$C$102,2,FALSE)</f>
        <v>86.363639831542969</v>
      </c>
      <c r="D18" s="225">
        <f t="shared" si="2"/>
        <v>395.99998409873626</v>
      </c>
      <c r="E18" s="225">
        <f>VLOOKUP($B18,'[1]4-Disponibilidade'!$A$8:$C$102,3,FALSE)</f>
        <v>342</v>
      </c>
      <c r="F18" s="227">
        <f>IF(ISNA(VLOOKUP($A18,'[1]3-Produção'!$A$9:$C$103,2,FALSE))=TRUE,"n/a",VLOOKUP($A18,'[1]3-Produção'!$A$9:$C$103,2,FALSE))</f>
        <v>168.95833333333334</v>
      </c>
      <c r="G18" s="227">
        <f>IF(ISNA(VLOOKUP($A18,'[1]3-Produção'!$A$9:$C$103,3,FALSE))=TRUE,"n/a",VLOOKUP($A18,'[1]3-Produção'!$A$9:$C$103,3,FALSE))</f>
        <v>218.78333333333333</v>
      </c>
      <c r="H18" s="227">
        <f t="shared" si="3"/>
        <v>49.824999999999989</v>
      </c>
      <c r="I18" s="227">
        <f t="shared" si="0"/>
        <v>177.21665076540293</v>
      </c>
      <c r="J18" s="228">
        <f t="shared" si="1"/>
        <v>123.21666666666667</v>
      </c>
      <c r="K18" s="375" t="str">
        <f t="shared" si="4"/>
        <v/>
      </c>
      <c r="L18" s="280" t="s">
        <v>63</v>
      </c>
      <c r="M18" s="356" t="s">
        <v>63</v>
      </c>
      <c r="N18" s="331">
        <f>VLOOKUP($M18,'[1]4-Disponibilidade'!$E$8:$G$26,2,FALSE)</f>
        <v>0</v>
      </c>
      <c r="O18" s="331">
        <f t="shared" si="8"/>
        <v>0</v>
      </c>
      <c r="P18" s="331">
        <f>VLOOKUP($M18,'[1]4-Disponibilidade'!$E$8:$G$26,3,FALSE)</f>
        <v>0</v>
      </c>
      <c r="Q18" s="332">
        <f>VLOOKUP($L18,'[1]3-Produção'!$A$124:$C$145,2,FALSE)</f>
        <v>0</v>
      </c>
      <c r="R18" s="332">
        <f>IF(ISNA(VLOOKUP($L18,'[1]3-Produção'!$A$124:$C$145,3,FALSE)),"n/a",VLOOKUP($L18,'[1]3-Produção'!$A$124:$C$145,3,FALSE))</f>
        <v>0</v>
      </c>
      <c r="S18" s="261">
        <f t="shared" si="5"/>
        <v>0</v>
      </c>
      <c r="T18" s="261">
        <f t="shared" si="6"/>
        <v>0</v>
      </c>
      <c r="U18" s="261">
        <f t="shared" si="7"/>
        <v>0</v>
      </c>
      <c r="V18" s="344">
        <v>128.24</v>
      </c>
      <c r="W18" s="375" t="str">
        <f t="shared" si="9"/>
        <v/>
      </c>
    </row>
    <row r="19" spans="1:27" x14ac:dyDescent="0.2">
      <c r="A19" s="251" t="s">
        <v>49</v>
      </c>
      <c r="B19" s="250" t="s">
        <v>49</v>
      </c>
      <c r="C19" s="239">
        <f>VLOOKUP($B19,'[1]4-Disponibilidade'!$A$8:$C$102,2,FALSE)</f>
        <v>100</v>
      </c>
      <c r="D19" s="225">
        <f t="shared" si="2"/>
        <v>380</v>
      </c>
      <c r="E19" s="225">
        <f>VLOOKUP($B19,'[1]4-Disponibilidade'!$A$8:$C$102,3,FALSE)</f>
        <v>380</v>
      </c>
      <c r="F19" s="227">
        <f>IF(ISNA(VLOOKUP($A19,'[1]3-Produção'!$A$9:$C$103,2,FALSE))=TRUE,"n/a",VLOOKUP($A19,'[1]3-Produção'!$A$9:$C$103,2,FALSE))</f>
        <v>170</v>
      </c>
      <c r="G19" s="227">
        <f>IF(ISNA(VLOOKUP($A19,'[1]3-Produção'!$A$9:$C$103,3,FALSE))=TRUE,"n/a",VLOOKUP($A19,'[1]3-Produção'!$A$9:$C$103,3,FALSE))</f>
        <v>210.17500000000001</v>
      </c>
      <c r="H19" s="227">
        <f t="shared" si="3"/>
        <v>40.175000000000011</v>
      </c>
      <c r="I19" s="227">
        <f t="shared" si="0"/>
        <v>169.82499999999999</v>
      </c>
      <c r="J19" s="228">
        <f t="shared" si="1"/>
        <v>169.82499999999999</v>
      </c>
      <c r="K19" s="375" t="str">
        <f t="shared" si="4"/>
        <v/>
      </c>
      <c r="L19" s="251" t="s">
        <v>189</v>
      </c>
      <c r="M19" s="357" t="s">
        <v>207</v>
      </c>
      <c r="N19" s="330">
        <f>VLOOKUP($M19,'[1]4-Disponibilidade'!$E$8:$G$26,2,FALSE)</f>
        <v>13.888889312744141</v>
      </c>
      <c r="O19" s="330">
        <f t="shared" si="8"/>
        <v>35.999998901367221</v>
      </c>
      <c r="P19" s="330">
        <f>VLOOKUP($M19,'[1]4-Disponibilidade'!$E$8:$G$26,3,FALSE)</f>
        <v>5</v>
      </c>
      <c r="Q19" s="333">
        <f>VLOOKUP($M19,'[1]3-Produção'!$A$124:$C$145,2,FALSE)</f>
        <v>0</v>
      </c>
      <c r="R19" s="333" t="str">
        <f>IF(ISNA(VLOOKUP($L19,'[1]3-Produção'!$A$124:$C$145,3,FALSE)),"n/a",VLOOKUP($L19,'[1]3-Produção'!$A$124:$C$145,3,FALSE))</f>
        <v>n/a</v>
      </c>
      <c r="S19" s="227" t="str">
        <f t="shared" si="5"/>
        <v>n/a</v>
      </c>
      <c r="T19" s="227" t="str">
        <f t="shared" si="6"/>
        <v>n/a</v>
      </c>
      <c r="U19" s="227" t="str">
        <f t="shared" si="7"/>
        <v>n/a</v>
      </c>
      <c r="V19" s="345">
        <v>142.88</v>
      </c>
      <c r="W19" s="375" t="str">
        <f t="shared" si="9"/>
        <v>X</v>
      </c>
    </row>
    <row r="20" spans="1:27" x14ac:dyDescent="0.2">
      <c r="A20" s="251" t="s">
        <v>51</v>
      </c>
      <c r="B20" s="250" t="s">
        <v>197</v>
      </c>
      <c r="C20" s="239">
        <f>VLOOKUP($B20,'[1]4-Disponibilidade'!$A$8:$C$102,2,FALSE)</f>
        <v>85.665336608886719</v>
      </c>
      <c r="D20" s="225">
        <f t="shared" si="2"/>
        <v>17.509999486121131</v>
      </c>
      <c r="E20" s="225">
        <f>VLOOKUP($B20,'[1]4-Disponibilidade'!$A$8:$C$102,3,FALSE)</f>
        <v>15</v>
      </c>
      <c r="F20" s="227">
        <f>IF(ISNA(VLOOKUP($A20,'[1]3-Produção'!$A$9:$C$103,2,FALSE))=TRUE,"n/a",VLOOKUP($A20,'[1]3-Produção'!$A$9:$C$103,2,FALSE))</f>
        <v>8.9749999999999996</v>
      </c>
      <c r="G20" s="227">
        <f>IF(ISNA(VLOOKUP($A20,'[1]3-Produção'!$A$9:$C$103,3,FALSE))=TRUE,"n/a",VLOOKUP($A20,'[1]3-Produção'!$A$9:$C$103,3,FALSE))</f>
        <v>8.9749999999999996</v>
      </c>
      <c r="H20" s="227">
        <f t="shared" si="3"/>
        <v>0</v>
      </c>
      <c r="I20" s="227">
        <f t="shared" si="0"/>
        <v>8.5349994861211318</v>
      </c>
      <c r="J20" s="228">
        <f t="shared" si="1"/>
        <v>6.0250000000000004</v>
      </c>
      <c r="K20" s="375" t="str">
        <f t="shared" si="4"/>
        <v/>
      </c>
      <c r="L20" s="251" t="s">
        <v>58</v>
      </c>
      <c r="M20" s="357" t="s">
        <v>58</v>
      </c>
      <c r="N20" s="335">
        <f>VLOOKUP($M20,'[1]4-Disponibilidade'!$E$8:$G$26,2,FALSE)</f>
        <v>0</v>
      </c>
      <c r="O20" s="330">
        <v>480</v>
      </c>
      <c r="P20" s="335">
        <f>VLOOKUP($M20,'[1]4-Disponibilidade'!$E$8:$G$26,3,FALSE)</f>
        <v>0</v>
      </c>
      <c r="Q20" s="333">
        <f>VLOOKUP($L20,'[1]3-Produção'!$A$124:$C$145,2,FALSE)</f>
        <v>0</v>
      </c>
      <c r="R20" s="333">
        <f>IF(ISNA(VLOOKUP($L20,'[1]3-Produção'!$A$124:$C$145,3,FALSE)),"n/a",VLOOKUP($L20,'[1]3-Produção'!$A$124:$C$145,3,FALSE))</f>
        <v>0</v>
      </c>
      <c r="S20" s="227">
        <f t="shared" si="5"/>
        <v>0</v>
      </c>
      <c r="T20" s="227">
        <f t="shared" si="6"/>
        <v>480</v>
      </c>
      <c r="U20" s="227">
        <f t="shared" si="7"/>
        <v>0</v>
      </c>
      <c r="V20" s="345">
        <v>160.06</v>
      </c>
      <c r="W20" s="375" t="str">
        <f t="shared" si="9"/>
        <v/>
      </c>
    </row>
    <row r="21" spans="1:27" x14ac:dyDescent="0.2">
      <c r="A21" s="251" t="s">
        <v>52</v>
      </c>
      <c r="B21" s="250" t="s">
        <v>52</v>
      </c>
      <c r="C21" s="239">
        <f>VLOOKUP($B21,'[1]4-Disponibilidade'!$A$8:$C$102,2,FALSE)</f>
        <v>49.151027679443359</v>
      </c>
      <c r="D21" s="225">
        <f t="shared" si="2"/>
        <v>111.90000005432823</v>
      </c>
      <c r="E21" s="225">
        <f>VLOOKUP($B21,'[1]4-Disponibilidade'!$A$8:$C$102,3,FALSE)</f>
        <v>55</v>
      </c>
      <c r="F21" s="227">
        <f>IF(ISNA(VLOOKUP($A21,'[1]3-Produção'!$A$9:$C$103,2,FALSE))=TRUE,"n/a",VLOOKUP($A21,'[1]3-Produção'!$A$9:$C$103,2,FALSE))</f>
        <v>54.791666666666664</v>
      </c>
      <c r="G21" s="227">
        <f>IF(ISNA(VLOOKUP($A21,'[1]3-Produção'!$A$9:$C$103,3,FALSE))=TRUE,"n/a",VLOOKUP($A21,'[1]3-Produção'!$A$9:$C$103,3,FALSE))</f>
        <v>54.791666666666664</v>
      </c>
      <c r="H21" s="227">
        <f t="shared" si="3"/>
        <v>0</v>
      </c>
      <c r="I21" s="227">
        <f t="shared" si="0"/>
        <v>57.108333387661567</v>
      </c>
      <c r="J21" s="228">
        <f t="shared" si="1"/>
        <v>0.2083333333333357</v>
      </c>
      <c r="K21" s="375" t="str">
        <f t="shared" si="4"/>
        <v/>
      </c>
      <c r="L21" s="280" t="s">
        <v>74</v>
      </c>
      <c r="M21" s="356" t="s">
        <v>74</v>
      </c>
      <c r="N21" s="331">
        <f>VLOOKUP($M21,'[1]4-Disponibilidade'!$E$8:$G$26,2,FALSE)</f>
        <v>0</v>
      </c>
      <c r="O21" s="331">
        <f t="shared" si="8"/>
        <v>0</v>
      </c>
      <c r="P21" s="331">
        <f>VLOOKUP($M21,'[1]4-Disponibilidade'!$E$8:$G$26,3,FALSE)</f>
        <v>0</v>
      </c>
      <c r="Q21" s="332">
        <f>VLOOKUP($L21,'[1]3-Produção'!$A$124:$C$145,2,FALSE)</f>
        <v>0</v>
      </c>
      <c r="R21" s="332">
        <f>IF(ISNA(VLOOKUP($L21,'[1]3-Produção'!$A$124:$C$145,3,FALSE)),"n/a",VLOOKUP($L21,'[1]3-Produção'!$A$124:$C$145,3,FALSE))</f>
        <v>0</v>
      </c>
      <c r="S21" s="261">
        <f t="shared" si="5"/>
        <v>0</v>
      </c>
      <c r="T21" s="261">
        <f t="shared" si="6"/>
        <v>0</v>
      </c>
      <c r="U21" s="261">
        <f t="shared" si="7"/>
        <v>0</v>
      </c>
      <c r="V21" s="344">
        <v>204.96</v>
      </c>
      <c r="W21" s="375" t="str">
        <f t="shared" si="9"/>
        <v/>
      </c>
    </row>
    <row r="22" spans="1:27" x14ac:dyDescent="0.2">
      <c r="A22" s="254" t="s">
        <v>54</v>
      </c>
      <c r="B22" s="255" t="s">
        <v>54</v>
      </c>
      <c r="C22" s="239">
        <f>VLOOKUP($B22,'[1]4-Disponibilidade'!$A$8:$C$102,2,FALSE)</f>
        <v>87.343437194824219</v>
      </c>
      <c r="D22" s="225">
        <f t="shared" si="2"/>
        <v>60.680002644939037</v>
      </c>
      <c r="E22" s="225">
        <f>VLOOKUP($B22,'[1]4-Disponibilidade'!$A$8:$C$102,3,FALSE)</f>
        <v>53</v>
      </c>
      <c r="F22" s="227">
        <f>IF(ISNA(VLOOKUP($A22,'[1]3-Produção'!$A$9:$C$103,2,FALSE))=TRUE,"n/a",VLOOKUP($A22,'[1]3-Produção'!$A$9:$C$103,2,FALSE))</f>
        <v>33.529166666666669</v>
      </c>
      <c r="G22" s="227">
        <f>IF(ISNA(VLOOKUP($A22,'[1]3-Produção'!$A$9:$C$103,3,FALSE))=TRUE,"n/a",VLOOKUP($A22,'[1]3-Produção'!$A$9:$C$103,3,FALSE))</f>
        <v>33.529166666666669</v>
      </c>
      <c r="H22" s="227">
        <f t="shared" si="3"/>
        <v>0</v>
      </c>
      <c r="I22" s="227">
        <f t="shared" si="0"/>
        <v>27.150835978272369</v>
      </c>
      <c r="J22" s="228">
        <f t="shared" si="1"/>
        <v>19.470833333333331</v>
      </c>
      <c r="K22" s="375" t="str">
        <f t="shared" si="4"/>
        <v/>
      </c>
      <c r="L22" s="294" t="s">
        <v>79</v>
      </c>
      <c r="M22" s="358" t="s">
        <v>79</v>
      </c>
      <c r="N22" s="336">
        <f>VLOOKUP($M22,'[1]4-Disponibilidade'!$E$8:$G$26,2,FALSE)</f>
        <v>0</v>
      </c>
      <c r="O22" s="337">
        <f t="shared" si="8"/>
        <v>0</v>
      </c>
      <c r="P22" s="336">
        <f>VLOOKUP($M22,'[1]4-Disponibilidade'!$E$8:$G$26,3,FALSE)</f>
        <v>0</v>
      </c>
      <c r="Q22" s="338">
        <f>VLOOKUP($L22,'[1]3-Produção'!$A$124:$C$145,2,FALSE)</f>
        <v>0</v>
      </c>
      <c r="R22" s="338">
        <f>IF(ISNA(VLOOKUP($L22,'[1]3-Produção'!$A$124:$C$145,3,FALSE)),"n/a",VLOOKUP($L22,'[1]3-Produção'!$A$124:$C$145,3,FALSE))</f>
        <v>0</v>
      </c>
      <c r="S22" s="289">
        <f t="shared" si="5"/>
        <v>0</v>
      </c>
      <c r="T22" s="289">
        <f t="shared" si="6"/>
        <v>0</v>
      </c>
      <c r="U22" s="289">
        <f t="shared" si="7"/>
        <v>0</v>
      </c>
      <c r="V22" s="346">
        <v>247.78</v>
      </c>
      <c r="W22" s="375" t="str">
        <f t="shared" si="9"/>
        <v/>
      </c>
    </row>
    <row r="23" spans="1:27" ht="13.5" thickBot="1" x14ac:dyDescent="0.25">
      <c r="A23" s="251" t="s">
        <v>56</v>
      </c>
      <c r="B23" s="250" t="s">
        <v>56</v>
      </c>
      <c r="C23" s="239">
        <f>VLOOKUP($B23,'[1]4-Disponibilidade'!$A$8:$C$102,2,FALSE)</f>
        <v>89.413444519042969</v>
      </c>
      <c r="D23" s="225">
        <f t="shared" si="2"/>
        <v>1398.0000510256366</v>
      </c>
      <c r="E23" s="225">
        <f>VLOOKUP($B23,'[1]4-Disponibilidade'!$A$8:$C$102,3,FALSE)</f>
        <v>1250</v>
      </c>
      <c r="F23" s="227">
        <f>IF(ISNA(VLOOKUP($A23,'[1]3-Produção'!$A$9:$C$103,2,FALSE))=TRUE,"n/a",VLOOKUP($A23,'[1]3-Produção'!$A$9:$C$103,2,FALSE))</f>
        <v>879.16666666666663</v>
      </c>
      <c r="G23" s="227">
        <f>IF(ISNA(VLOOKUP($A23,'[1]3-Produção'!$A$9:$C$103,3,FALSE))=TRUE,"n/a",VLOOKUP($A23,'[1]3-Produção'!$A$9:$C$103,3,FALSE))</f>
        <v>925.9375</v>
      </c>
      <c r="H23" s="227">
        <f t="shared" si="3"/>
        <v>46.770833333333371</v>
      </c>
      <c r="I23" s="227">
        <f t="shared" si="0"/>
        <v>472.06255102563659</v>
      </c>
      <c r="J23" s="228">
        <f t="shared" si="1"/>
        <v>324.0625</v>
      </c>
      <c r="K23" s="375" t="str">
        <f t="shared" si="4"/>
        <v/>
      </c>
      <c r="L23" s="359" t="s">
        <v>72</v>
      </c>
      <c r="M23" s="360" t="s">
        <v>72</v>
      </c>
      <c r="N23" s="341">
        <f>VLOOKUP($M23,'[1]4-Disponibilidade'!$E$8:$G$26,2,FALSE)</f>
        <v>0</v>
      </c>
      <c r="O23" s="341">
        <f t="shared" si="8"/>
        <v>0</v>
      </c>
      <c r="P23" s="341">
        <f>VLOOKUP($M23,'[1]4-Disponibilidade'!$E$8:$G$26,3,FALSE)</f>
        <v>0</v>
      </c>
      <c r="Q23" s="342">
        <f>VLOOKUP($L23,'[1]3-Produção'!$A$124:$C$145,2,FALSE)</f>
        <v>2.9166666666666665</v>
      </c>
      <c r="R23" s="342">
        <f>IF(ISNA(VLOOKUP($L23,'[1]3-Produção'!$A$124:$C$145,3,FALSE)),"n/a",VLOOKUP($L23,'[1]3-Produção'!$A$124:$C$145,3,FALSE))</f>
        <v>0</v>
      </c>
      <c r="S23" s="272">
        <f t="shared" si="5"/>
        <v>-2.9166666666666665</v>
      </c>
      <c r="T23" s="272">
        <f t="shared" si="6"/>
        <v>0</v>
      </c>
      <c r="U23" s="272">
        <f t="shared" si="7"/>
        <v>0</v>
      </c>
      <c r="V23" s="347">
        <v>324.06</v>
      </c>
      <c r="W23" s="375" t="str">
        <f t="shared" si="9"/>
        <v/>
      </c>
    </row>
    <row r="24" spans="1:27" ht="13.5" thickBot="1" x14ac:dyDescent="0.25">
      <c r="A24" s="251" t="s">
        <v>57</v>
      </c>
      <c r="B24" s="250" t="s">
        <v>57</v>
      </c>
      <c r="C24" s="239">
        <f>VLOOKUP($B24,'[1]4-Disponibilidade'!$A$8:$C$102,2,FALSE)</f>
        <v>82.857139587402344</v>
      </c>
      <c r="D24" s="225">
        <f t="shared" si="2"/>
        <v>140.00000552473421</v>
      </c>
      <c r="E24" s="225">
        <f>VLOOKUP($B24,'[1]4-Disponibilidade'!$A$8:$C$102,3,FALSE)</f>
        <v>116</v>
      </c>
      <c r="F24" s="227">
        <f>IF(ISNA(VLOOKUP($A24,'[1]3-Produção'!$A$9:$C$103,2,FALSE))=TRUE,"n/a",VLOOKUP($A24,'[1]3-Produção'!$A$9:$C$103,2,FALSE))</f>
        <v>116</v>
      </c>
      <c r="G24" s="227">
        <f>IF(ISNA(VLOOKUP($A24,'[1]3-Produção'!$A$9:$C$103,3,FALSE))=TRUE,"n/a",VLOOKUP($A24,'[1]3-Produção'!$A$9:$C$103,3,FALSE))</f>
        <v>105.39583333333331</v>
      </c>
      <c r="H24" s="227">
        <f t="shared" si="3"/>
        <v>-10.604166666666686</v>
      </c>
      <c r="I24" s="227">
        <f t="shared" si="0"/>
        <v>34.604172191400892</v>
      </c>
      <c r="J24" s="228">
        <f t="shared" si="1"/>
        <v>10.604166666666686</v>
      </c>
      <c r="K24" s="375" t="str">
        <f t="shared" si="4"/>
        <v/>
      </c>
      <c r="L24" s="371" t="s">
        <v>184</v>
      </c>
      <c r="M24" s="367"/>
      <c r="N24" s="372">
        <f>SUMPRODUCT(N5:N23,O5:O23)/O24</f>
        <v>64.964474300283456</v>
      </c>
      <c r="O24" s="372">
        <f t="shared" ref="O24:U24" si="10">SUM(O5:O23)</f>
        <v>5469.3000303687122</v>
      </c>
      <c r="P24" s="372">
        <f t="shared" si="10"/>
        <v>3059</v>
      </c>
      <c r="Q24" s="372">
        <f t="shared" si="10"/>
        <v>2735.9166666666665</v>
      </c>
      <c r="R24" s="372">
        <f t="shared" si="10"/>
        <v>2771.3458333333333</v>
      </c>
      <c r="S24" s="373">
        <f t="shared" si="10"/>
        <v>35.42916666666671</v>
      </c>
      <c r="T24" s="373">
        <f t="shared" si="10"/>
        <v>2661.9541981340117</v>
      </c>
      <c r="U24" s="373">
        <f t="shared" si="10"/>
        <v>282.65416666666658</v>
      </c>
      <c r="V24" s="374"/>
      <c r="W24" s="376"/>
    </row>
    <row r="25" spans="1:27" x14ac:dyDescent="0.2">
      <c r="A25" s="251" t="s">
        <v>59</v>
      </c>
      <c r="B25" s="250" t="s">
        <v>59</v>
      </c>
      <c r="C25" s="239">
        <f>VLOOKUP($B25,'[1]4-Disponibilidade'!$A$8:$C$102,2,FALSE)</f>
        <v>91.666664123535156</v>
      </c>
      <c r="D25" s="225">
        <f t="shared" si="2"/>
        <v>144.00000399502852</v>
      </c>
      <c r="E25" s="225">
        <f>VLOOKUP($B25,'[1]4-Disponibilidade'!$A$8:$C$102,3,FALSE)</f>
        <v>132</v>
      </c>
      <c r="F25" s="227">
        <f>IF(ISNA(VLOOKUP($A25,'[1]3-Produção'!$A$9:$C$103,2,FALSE))=TRUE,"n/a",VLOOKUP($A25,'[1]3-Produção'!$A$9:$C$103,2,FALSE))</f>
        <v>130</v>
      </c>
      <c r="G25" s="227">
        <f>IF(ISNA(VLOOKUP($A25,'[1]3-Produção'!$A$9:$C$103,3,FALSE))=TRUE,"n/a",VLOOKUP($A25,'[1]3-Produção'!$A$9:$C$103,3,FALSE))</f>
        <v>125.08750000000001</v>
      </c>
      <c r="H25" s="227">
        <f t="shared" si="3"/>
        <v>-4.9124999999999943</v>
      </c>
      <c r="I25" s="227">
        <f t="shared" si="0"/>
        <v>18.912503995028516</v>
      </c>
      <c r="J25" s="228">
        <f t="shared" si="1"/>
        <v>6.9124999999999943</v>
      </c>
      <c r="K25" s="375" t="str">
        <f t="shared" si="4"/>
        <v/>
      </c>
      <c r="R25" s="5"/>
      <c r="S25" s="26"/>
      <c r="T25" s="26"/>
      <c r="U25" s="26"/>
    </row>
    <row r="26" spans="1:27" x14ac:dyDescent="0.2">
      <c r="A26" s="251" t="s">
        <v>60</v>
      </c>
      <c r="B26" s="250" t="s">
        <v>60</v>
      </c>
      <c r="C26" s="239">
        <f>VLOOKUP($B26,'[1]4-Disponibilidade'!$A$8:$C$102,2,FALSE)</f>
        <v>75</v>
      </c>
      <c r="D26" s="225">
        <f t="shared" si="2"/>
        <v>80</v>
      </c>
      <c r="E26" s="225">
        <f>VLOOKUP($B26,'[1]4-Disponibilidade'!$A$8:$C$102,3,FALSE)</f>
        <v>60</v>
      </c>
      <c r="F26" s="227">
        <f>IF(ISNA(VLOOKUP($A26,'[1]3-Produção'!$A$9:$C$103,2,FALSE))=TRUE,"n/a",VLOOKUP($A26,'[1]3-Produção'!$A$9:$C$103,2,FALSE))</f>
        <v>60</v>
      </c>
      <c r="G26" s="227">
        <f>IF(ISNA(VLOOKUP($A26,'[1]3-Produção'!$A$9:$C$103,3,FALSE))=TRUE,"n/a",VLOOKUP($A26,'[1]3-Produção'!$A$9:$C$103,3,FALSE))</f>
        <v>58.458333333333321</v>
      </c>
      <c r="H26" s="227">
        <f t="shared" si="3"/>
        <v>-1.5416666666666785</v>
      </c>
      <c r="I26" s="227">
        <f t="shared" si="0"/>
        <v>21.541666666666679</v>
      </c>
      <c r="J26" s="228">
        <f t="shared" si="1"/>
        <v>1.5416666666666785</v>
      </c>
      <c r="K26" s="375" t="str">
        <f t="shared" si="4"/>
        <v/>
      </c>
      <c r="L26" s="31" t="s">
        <v>287</v>
      </c>
      <c r="M26" s="28"/>
      <c r="R26" s="5"/>
    </row>
    <row r="27" spans="1:27" x14ac:dyDescent="0.2">
      <c r="A27" s="251" t="s">
        <v>24</v>
      </c>
      <c r="B27" s="250" t="s">
        <v>24</v>
      </c>
      <c r="C27" s="239">
        <f>VLOOKUP($B27,'[1]4-Disponibilidade'!$A$8:$C$102,2,FALSE)</f>
        <v>89.423080444335938</v>
      </c>
      <c r="D27" s="225">
        <f t="shared" si="2"/>
        <v>415.99998361895229</v>
      </c>
      <c r="E27" s="225">
        <f>VLOOKUP($B27,'[1]4-Disponibilidade'!$A$8:$C$102,3,FALSE)</f>
        <v>372</v>
      </c>
      <c r="F27" s="227">
        <f>IF(ISNA(VLOOKUP($A27,'[1]3-Produção'!$A$9:$C$103,2,FALSE))=TRUE,"n/a",VLOOKUP($A27,'[1]3-Produção'!$A$9:$C$103,2,FALSE))</f>
        <v>81.166666666666671</v>
      </c>
      <c r="G27" s="227">
        <f>IF(ISNA(VLOOKUP($A27,'[1]3-Produção'!$A$9:$C$103,3,FALSE))=TRUE,"n/a",VLOOKUP($A27,'[1]3-Produção'!$A$9:$C$103,3,FALSE))</f>
        <v>92.083333333333314</v>
      </c>
      <c r="H27" s="227">
        <f t="shared" si="3"/>
        <v>10.916666666666643</v>
      </c>
      <c r="I27" s="227">
        <f t="shared" si="0"/>
        <v>323.91665028561897</v>
      </c>
      <c r="J27" s="228">
        <f t="shared" si="1"/>
        <v>279.91666666666669</v>
      </c>
      <c r="K27" s="375" t="str">
        <f t="shared" si="4"/>
        <v/>
      </c>
      <c r="L27" s="31" t="s">
        <v>288</v>
      </c>
      <c r="M27" s="28"/>
      <c r="R27" s="53"/>
      <c r="S27" s="54"/>
      <c r="T27" s="54"/>
      <c r="U27" s="54"/>
      <c r="V27" s="54"/>
      <c r="W27" s="54"/>
      <c r="X27" s="54"/>
      <c r="Y27" s="54"/>
      <c r="Z27" s="54"/>
      <c r="AA27" s="54"/>
    </row>
    <row r="28" spans="1:27" x14ac:dyDescent="0.2">
      <c r="A28" s="251" t="s">
        <v>25</v>
      </c>
      <c r="B28" s="250" t="s">
        <v>25</v>
      </c>
      <c r="C28" s="239">
        <f>VLOOKUP($B28,'[1]4-Disponibilidade'!$A$8:$C$102,2,FALSE)</f>
        <v>88.28125</v>
      </c>
      <c r="D28" s="225">
        <f t="shared" si="2"/>
        <v>640</v>
      </c>
      <c r="E28" s="225">
        <f>VLOOKUP($B28,'[1]4-Disponibilidade'!$A$8:$C$102,3,FALSE)</f>
        <v>565</v>
      </c>
      <c r="F28" s="227">
        <f>IF(ISNA(VLOOKUP($A28,'[1]3-Produção'!$A$9:$C$103,2,FALSE))=TRUE,"n/a",VLOOKUP($A28,'[1]3-Produção'!$A$9:$C$103,2,FALSE))</f>
        <v>535</v>
      </c>
      <c r="G28" s="227">
        <f>IF(ISNA(VLOOKUP($A28,'[1]3-Produção'!$A$9:$C$103,3,FALSE))=TRUE,"n/a",VLOOKUP($A28,'[1]3-Produção'!$A$9:$C$103,3,FALSE))</f>
        <v>522.73333333333323</v>
      </c>
      <c r="H28" s="227">
        <f t="shared" si="3"/>
        <v>-12.266666666666765</v>
      </c>
      <c r="I28" s="227">
        <f t="shared" si="0"/>
        <v>117.26666666666677</v>
      </c>
      <c r="J28" s="228">
        <f t="shared" si="1"/>
        <v>42.266666666666765</v>
      </c>
      <c r="K28" s="375" t="str">
        <f t="shared" si="4"/>
        <v/>
      </c>
      <c r="L28" s="31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x14ac:dyDescent="0.2">
      <c r="A29" s="251" t="s">
        <v>64</v>
      </c>
      <c r="B29" s="250" t="s">
        <v>64</v>
      </c>
      <c r="C29" s="239">
        <f>VLOOKUP($B29,'[1]4-Disponibilidade'!$A$8:$C$102,2,FALSE)</f>
        <v>65.454544067382813</v>
      </c>
      <c r="D29" s="225">
        <f t="shared" ref="D29:D44" si="11">IF(AND(C29=0,E29=0),"n/a",E29/C29*100)</f>
        <v>82.500001748402951</v>
      </c>
      <c r="E29" s="225">
        <f>VLOOKUP($B29,'[1]4-Disponibilidade'!$A$8:$C$102,3,FALSE)</f>
        <v>54</v>
      </c>
      <c r="F29" s="227">
        <f>IF(ISNA(VLOOKUP($A29,'[1]3-Produção'!$A$9:$C$103,2,FALSE))=TRUE,"n/a",VLOOKUP($A29,'[1]3-Produção'!$A$9:$C$103,2,FALSE))</f>
        <v>54</v>
      </c>
      <c r="G29" s="227">
        <f>IF(ISNA(VLOOKUP($A29,'[1]3-Produção'!$A$9:$C$103,3,FALSE))=TRUE,"n/a",VLOOKUP($A29,'[1]3-Produção'!$A$9:$C$103,3,FALSE))</f>
        <v>54</v>
      </c>
      <c r="H29" s="227">
        <f t="shared" ref="H29:H44" si="12">IF(OR(F29="n/a",G29="n/a"),"n/a",G29-F29)</f>
        <v>0</v>
      </c>
      <c r="I29" s="227">
        <f t="shared" ref="I29:I44" si="13">IF(OR(G29="n/a",D29="n/a"),"n/a",D29-G29)</f>
        <v>28.500001748402951</v>
      </c>
      <c r="J29" s="228">
        <f t="shared" ref="J29:J44" si="14">IF(OR(G29="n/a",G29=0,E29="n/a",E29=0),"n/a",E29-G29)</f>
        <v>0</v>
      </c>
      <c r="K29" s="375" t="str">
        <f t="shared" si="4"/>
        <v/>
      </c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x14ac:dyDescent="0.2">
      <c r="A30" s="251" t="s">
        <v>66</v>
      </c>
      <c r="B30" s="250" t="s">
        <v>66</v>
      </c>
      <c r="C30" s="239">
        <f>VLOOKUP($B30,'[1]4-Disponibilidade'!$A$8:$C$102,2,FALSE)</f>
        <v>102.04081726074219</v>
      </c>
      <c r="D30" s="225">
        <f t="shared" si="11"/>
        <v>73.499999327087409</v>
      </c>
      <c r="E30" s="225">
        <f>VLOOKUP($B30,'[1]4-Disponibilidade'!$A$8:$C$102,3,FALSE)</f>
        <v>75</v>
      </c>
      <c r="F30" s="227">
        <f>IF(ISNA(VLOOKUP($A30,'[1]3-Produção'!$A$9:$C$103,2,FALSE))=TRUE,"n/a",VLOOKUP($A30,'[1]3-Produção'!$A$9:$C$103,2,FALSE))</f>
        <v>45</v>
      </c>
      <c r="G30" s="227">
        <f>IF(ISNA(VLOOKUP($A30,'[1]3-Produção'!$A$9:$C$103,3,FALSE))=TRUE,"n/a",VLOOKUP($A30,'[1]3-Produção'!$A$9:$C$103,3,FALSE))</f>
        <v>44.6875</v>
      </c>
      <c r="H30" s="227">
        <f t="shared" si="12"/>
        <v>-0.3125</v>
      </c>
      <c r="I30" s="227">
        <f t="shared" si="13"/>
        <v>28.812499327087409</v>
      </c>
      <c r="J30" s="228">
        <f t="shared" si="14"/>
        <v>30.3125</v>
      </c>
      <c r="K30" s="375" t="str">
        <f t="shared" si="4"/>
        <v>X</v>
      </c>
      <c r="L30" s="55"/>
      <c r="M30" s="55"/>
      <c r="N30" s="361" t="s">
        <v>212</v>
      </c>
      <c r="O30" s="362"/>
      <c r="P30" s="362"/>
      <c r="Q30" s="362"/>
      <c r="R30" s="362"/>
      <c r="S30" s="54"/>
    </row>
    <row r="31" spans="1:27" x14ac:dyDescent="0.2">
      <c r="A31" s="252" t="s">
        <v>69</v>
      </c>
      <c r="B31" s="250" t="s">
        <v>69</v>
      </c>
      <c r="C31" s="239">
        <f>VLOOKUP($B31,'[1]4-Disponibilidade'!$A$8:$C$102,2,FALSE)</f>
        <v>88.888885498046875</v>
      </c>
      <c r="D31" s="225">
        <f t="shared" si="11"/>
        <v>108.00000411987321</v>
      </c>
      <c r="E31" s="225">
        <f>VLOOKUP($B31,'[1]4-Disponibilidade'!$A$8:$C$102,3,FALSE)</f>
        <v>96</v>
      </c>
      <c r="F31" s="227">
        <f>IF(ISNA(VLOOKUP($A31,'[1]3-Produção'!$A$9:$C$103,2,FALSE))=TRUE,"n/a",VLOOKUP($A31,'[1]3-Produção'!$A$9:$C$103,2,FALSE))</f>
        <v>68.333333333333329</v>
      </c>
      <c r="G31" s="227">
        <f>IF(ISNA(VLOOKUP($A31,'[1]3-Produção'!$A$9:$C$103,3,FALSE))=TRUE,"n/a",VLOOKUP($A31,'[1]3-Produção'!$A$9:$C$103,3,FALSE))</f>
        <v>67.629166666666677</v>
      </c>
      <c r="H31" s="227">
        <f t="shared" si="12"/>
        <v>-0.70416666666665151</v>
      </c>
      <c r="I31" s="227">
        <f t="shared" si="13"/>
        <v>40.370837453206533</v>
      </c>
      <c r="J31" s="228">
        <f t="shared" si="14"/>
        <v>28.370833333333323</v>
      </c>
      <c r="K31" s="375" t="str">
        <f t="shared" si="4"/>
        <v/>
      </c>
      <c r="L31" s="54"/>
      <c r="M31" s="54"/>
      <c r="N31" s="365"/>
      <c r="O31" s="363" t="s">
        <v>241</v>
      </c>
      <c r="P31" s="364"/>
      <c r="Q31" s="288"/>
      <c r="R31" s="363" t="s">
        <v>243</v>
      </c>
      <c r="S31" s="54"/>
      <c r="T31" s="54"/>
      <c r="U31" s="54"/>
    </row>
    <row r="32" spans="1:27" x14ac:dyDescent="0.2">
      <c r="A32" s="251" t="s">
        <v>71</v>
      </c>
      <c r="B32" s="253" t="s">
        <v>71</v>
      </c>
      <c r="C32" s="239">
        <f>VLOOKUP($B32,'[1]4-Disponibilidade'!$A$8:$C$102,2,FALSE)</f>
        <v>97.727272033691406</v>
      </c>
      <c r="D32" s="225">
        <f t="shared" si="11"/>
        <v>132.00000093681868</v>
      </c>
      <c r="E32" s="225">
        <f>VLOOKUP($B32,'[1]4-Disponibilidade'!$A$8:$C$102,3,FALSE)</f>
        <v>129</v>
      </c>
      <c r="F32" s="227">
        <f>IF(ISNA(VLOOKUP($A32,'[1]3-Produção'!$A$9:$C$103,2,FALSE))=TRUE,"n/a",VLOOKUP($A32,'[1]3-Produção'!$A$9:$C$103,2,FALSE))</f>
        <v>126</v>
      </c>
      <c r="G32" s="227">
        <f>IF(ISNA(VLOOKUP($A32,'[1]3-Produção'!$A$9:$C$103,3,FALSE))=TRUE,"n/a",VLOOKUP($A32,'[1]3-Produção'!$A$9:$C$103,3,FALSE))</f>
        <v>123.29583333333333</v>
      </c>
      <c r="H32" s="227">
        <f t="shared" si="12"/>
        <v>-2.7041666666666657</v>
      </c>
      <c r="I32" s="227">
        <f t="shared" si="13"/>
        <v>8.7041676034853452</v>
      </c>
      <c r="J32" s="228">
        <f t="shared" si="14"/>
        <v>5.7041666666666657</v>
      </c>
      <c r="K32" s="375" t="str">
        <f t="shared" si="4"/>
        <v/>
      </c>
      <c r="L32" s="54"/>
      <c r="M32" s="54"/>
      <c r="N32" s="54"/>
      <c r="O32" s="54"/>
      <c r="P32" s="364"/>
      <c r="Q32" s="54"/>
      <c r="R32" s="54"/>
      <c r="S32" s="54"/>
      <c r="T32" s="54"/>
      <c r="U32" s="54"/>
    </row>
    <row r="33" spans="1:27" x14ac:dyDescent="0.2">
      <c r="A33" s="251" t="s">
        <v>73</v>
      </c>
      <c r="B33" s="250" t="s">
        <v>73</v>
      </c>
      <c r="C33" s="239">
        <f>VLOOKUP($B33,'[1]4-Disponibilidade'!$A$8:$C$102,2,FALSE)</f>
        <v>90.185829162597656</v>
      </c>
      <c r="D33" s="225">
        <f t="shared" si="11"/>
        <v>3444.0000483891281</v>
      </c>
      <c r="E33" s="225">
        <f>VLOOKUP($B33,'[1]4-Disponibilidade'!$A$8:$C$102,3,FALSE)</f>
        <v>3106</v>
      </c>
      <c r="F33" s="227">
        <f>IF(ISNA(VLOOKUP($A33,'[1]3-Produção'!$A$9:$C$103,2,FALSE))=TRUE,"n/a",VLOOKUP($A33,'[1]3-Produção'!$A$9:$C$103,2,FALSE))</f>
        <v>2039.5833333333333</v>
      </c>
      <c r="G33" s="227">
        <f>IF(ISNA(VLOOKUP($A33,'[1]3-Produção'!$A$9:$C$103,3,FALSE))=TRUE,"n/a",VLOOKUP($A33,'[1]3-Produção'!$A$9:$C$103,3,FALSE))</f>
        <v>2065.0916666666667</v>
      </c>
      <c r="H33" s="227">
        <f t="shared" si="12"/>
        <v>25.508333333333439</v>
      </c>
      <c r="I33" s="227">
        <f t="shared" si="13"/>
        <v>1378.9083817224614</v>
      </c>
      <c r="J33" s="228">
        <f t="shared" si="14"/>
        <v>1040.9083333333333</v>
      </c>
      <c r="K33" s="375" t="str">
        <f t="shared" si="4"/>
        <v/>
      </c>
      <c r="L33" s="54"/>
      <c r="M33" s="54"/>
      <c r="N33" s="260"/>
      <c r="O33" s="363" t="s">
        <v>242</v>
      </c>
      <c r="P33" s="364"/>
      <c r="Q33" s="290"/>
      <c r="R33" s="363" t="s">
        <v>244</v>
      </c>
      <c r="S33" s="54"/>
      <c r="T33" s="54"/>
      <c r="U33" s="54"/>
    </row>
    <row r="34" spans="1:27" x14ac:dyDescent="0.2">
      <c r="A34" s="251" t="s">
        <v>75</v>
      </c>
      <c r="B34" s="250" t="s">
        <v>75</v>
      </c>
      <c r="C34" s="239">
        <f>VLOOKUP($B34,'[1]4-Disponibilidade'!$A$8:$C$102,2,FALSE)</f>
        <v>71.428573608398438</v>
      </c>
      <c r="D34" s="225">
        <f t="shared" si="11"/>
        <v>27.999999145507836</v>
      </c>
      <c r="E34" s="225">
        <f>VLOOKUP($B34,'[1]4-Disponibilidade'!$A$8:$C$102,3,FALSE)</f>
        <v>20</v>
      </c>
      <c r="F34" s="227">
        <f>IF(ISNA(VLOOKUP($A34,'[1]3-Produção'!$A$9:$C$103,2,FALSE))=TRUE,"n/a",VLOOKUP($A34,'[1]3-Produção'!$A$9:$C$103,2,FALSE))</f>
        <v>4</v>
      </c>
      <c r="G34" s="227">
        <f>IF(ISNA(VLOOKUP($A34,'[1]3-Produção'!$A$9:$C$103,3,FALSE))=TRUE,"n/a",VLOOKUP($A34,'[1]3-Produção'!$A$9:$C$103,3,FALSE))</f>
        <v>3.9541666666666657</v>
      </c>
      <c r="H34" s="227">
        <f t="shared" si="12"/>
        <v>-4.5833333333334281E-2</v>
      </c>
      <c r="I34" s="227">
        <f t="shared" si="13"/>
        <v>24.04583247884117</v>
      </c>
      <c r="J34" s="228">
        <f t="shared" si="14"/>
        <v>16.045833333333334</v>
      </c>
      <c r="K34" s="375" t="str">
        <f t="shared" si="4"/>
        <v/>
      </c>
      <c r="L34" s="54"/>
      <c r="M34" s="54"/>
      <c r="N34" s="54"/>
      <c r="O34" s="54"/>
      <c r="P34" s="54"/>
      <c r="Q34" s="54"/>
      <c r="R34" s="54"/>
      <c r="S34" s="54"/>
      <c r="T34" s="54"/>
      <c r="U34" s="54"/>
    </row>
    <row r="35" spans="1:27" x14ac:dyDescent="0.2">
      <c r="A35" s="252" t="s">
        <v>77</v>
      </c>
      <c r="B35" s="250" t="s">
        <v>77</v>
      </c>
      <c r="C35" s="239">
        <f>VLOOKUP($B35,'[1]4-Disponibilidade'!$A$8:$C$102,2,FALSE)</f>
        <v>87.674049377441406</v>
      </c>
      <c r="D35" s="225">
        <f t="shared" si="11"/>
        <v>1551.2001665910609</v>
      </c>
      <c r="E35" s="225">
        <f>VLOOKUP($B35,'[1]4-Disponibilidade'!$A$8:$C$102,3,FALSE)</f>
        <v>1360</v>
      </c>
      <c r="F35" s="227">
        <f>IF(ISNA(VLOOKUP($A35,'[1]3-Produção'!$A$9:$C$103,2,FALSE))=TRUE,"n/a",VLOOKUP($A35,'[1]3-Produção'!$A$9:$C$103,2,FALSE))</f>
        <v>1189.5833333333333</v>
      </c>
      <c r="G35" s="227">
        <f>IF(ISNA(VLOOKUP($A35,'[1]3-Produção'!$A$9:$C$103,3,FALSE))=TRUE,"n/a",VLOOKUP($A35,'[1]3-Produção'!$A$9:$C$103,3,FALSE))</f>
        <v>1244.1666666666665</v>
      </c>
      <c r="H35" s="227">
        <f t="shared" si="12"/>
        <v>54.583333333333258</v>
      </c>
      <c r="I35" s="227">
        <f t="shared" si="13"/>
        <v>307.03349992439439</v>
      </c>
      <c r="J35" s="228">
        <f t="shared" si="14"/>
        <v>115.83333333333348</v>
      </c>
      <c r="K35" s="375" t="str">
        <f t="shared" si="4"/>
        <v/>
      </c>
      <c r="L35" s="54"/>
      <c r="M35" s="54"/>
      <c r="N35" s="54"/>
      <c r="O35" s="54"/>
      <c r="P35" s="54"/>
      <c r="Q35" s="54"/>
      <c r="R35" s="54"/>
      <c r="S35" s="54"/>
      <c r="T35" s="54"/>
      <c r="U35" s="54"/>
    </row>
    <row r="36" spans="1:27" x14ac:dyDescent="0.2">
      <c r="A36" s="252" t="s">
        <v>23</v>
      </c>
      <c r="B36" s="253" t="s">
        <v>23</v>
      </c>
      <c r="C36" s="239">
        <f>VLOOKUP($B36,'[1]4-Disponibilidade'!$A$8:$C$102,2,FALSE)</f>
        <v>91.83673095703125</v>
      </c>
      <c r="D36" s="225">
        <f t="shared" si="11"/>
        <v>98.000003987630365</v>
      </c>
      <c r="E36" s="225">
        <f>VLOOKUP($B36,'[1]4-Disponibilidade'!$A$8:$C$102,3,FALSE)</f>
        <v>90</v>
      </c>
      <c r="F36" s="227">
        <f>IF(ISNA(VLOOKUP($A36,'[1]3-Produção'!$A$9:$C$103,2,FALSE))=TRUE,"n/a",VLOOKUP($A36,'[1]3-Produção'!$A$9:$C$103,2,FALSE))</f>
        <v>24.333333333333332</v>
      </c>
      <c r="G36" s="227">
        <f>IF(ISNA(VLOOKUP($A36,'[1]3-Produção'!$A$9:$C$103,3,FALSE))=TRUE,"n/a",VLOOKUP($A36,'[1]3-Produção'!$A$9:$C$103,3,FALSE))</f>
        <v>25.083333333333332</v>
      </c>
      <c r="H36" s="227">
        <f t="shared" si="12"/>
        <v>0.75</v>
      </c>
      <c r="I36" s="227">
        <f t="shared" si="13"/>
        <v>72.916670654297036</v>
      </c>
      <c r="J36" s="228">
        <f t="shared" si="14"/>
        <v>64.916666666666671</v>
      </c>
      <c r="K36" s="375" t="str">
        <f t="shared" si="4"/>
        <v/>
      </c>
      <c r="L36" s="54"/>
      <c r="M36" s="54"/>
      <c r="N36" s="54"/>
      <c r="O36" s="54"/>
      <c r="P36" s="54"/>
      <c r="Q36" s="54"/>
      <c r="R36" s="54"/>
      <c r="S36" s="54"/>
      <c r="T36" s="54"/>
      <c r="U36" s="54"/>
    </row>
    <row r="37" spans="1:27" x14ac:dyDescent="0.2">
      <c r="A37" s="251" t="s">
        <v>80</v>
      </c>
      <c r="B37" s="253" t="s">
        <v>80</v>
      </c>
      <c r="C37" s="239">
        <f>VLOOKUP($B37,'[1]4-Disponibilidade'!$A$8:$C$102,2,FALSE)</f>
        <v>100</v>
      </c>
      <c r="D37" s="225">
        <f t="shared" si="11"/>
        <v>32</v>
      </c>
      <c r="E37" s="225">
        <f>VLOOKUP($B37,'[1]4-Disponibilidade'!$A$8:$C$102,3,FALSE)</f>
        <v>32</v>
      </c>
      <c r="F37" s="227">
        <f>IF(ISNA(VLOOKUP($A37,'[1]3-Produção'!$A$9:$C$103,2,FALSE))=TRUE,"n/a",VLOOKUP($A37,'[1]3-Produção'!$A$9:$C$103,2,FALSE))</f>
        <v>20.833333333333332</v>
      </c>
      <c r="G37" s="227">
        <f>IF(ISNA(VLOOKUP($A37,'[1]3-Produção'!$A$9:$C$103,3,FALSE))=TRUE,"n/a",VLOOKUP($A37,'[1]3-Produção'!$A$9:$C$103,3,FALSE))</f>
        <v>20.433333333333334</v>
      </c>
      <c r="H37" s="227">
        <f t="shared" si="12"/>
        <v>-0.39999999999999858</v>
      </c>
      <c r="I37" s="227">
        <f t="shared" si="13"/>
        <v>11.566666666666666</v>
      </c>
      <c r="J37" s="228">
        <f t="shared" si="14"/>
        <v>11.566666666666666</v>
      </c>
      <c r="K37" s="375" t="str">
        <f t="shared" si="4"/>
        <v/>
      </c>
      <c r="L37" s="54"/>
      <c r="M37" s="54"/>
      <c r="N37" s="54"/>
      <c r="O37" s="54"/>
      <c r="P37" s="54"/>
      <c r="Q37" s="54"/>
      <c r="R37" s="54"/>
      <c r="S37" s="54"/>
      <c r="T37" s="54"/>
      <c r="U37" s="54"/>
    </row>
    <row r="38" spans="1:27" x14ac:dyDescent="0.2">
      <c r="A38" s="251" t="s">
        <v>81</v>
      </c>
      <c r="B38" s="250" t="s">
        <v>81</v>
      </c>
      <c r="C38" s="239">
        <f>VLOOKUP($B38,'[1]4-Disponibilidade'!$A$8:$C$102,2,FALSE)</f>
        <v>99.30914306640625</v>
      </c>
      <c r="D38" s="225">
        <f t="shared" si="11"/>
        <v>347.40003724461167</v>
      </c>
      <c r="E38" s="225">
        <f>VLOOKUP($B38,'[1]4-Disponibilidade'!$A$8:$C$102,3,FALSE)</f>
        <v>345</v>
      </c>
      <c r="F38" s="227">
        <f>IF(ISNA(VLOOKUP($A38,'[1]3-Produção'!$A$9:$C$103,2,FALSE))=TRUE,"n/a",VLOOKUP($A38,'[1]3-Produção'!$A$9:$C$103,2,FALSE))</f>
        <v>243.33333333333334</v>
      </c>
      <c r="G38" s="227">
        <f>IF(ISNA(VLOOKUP($A38,'[1]3-Produção'!$A$9:$C$103,3,FALSE))=TRUE,"n/a",VLOOKUP($A38,'[1]3-Produção'!$A$9:$C$103,3,FALSE))</f>
        <v>250.70833333333337</v>
      </c>
      <c r="H38" s="227">
        <f t="shared" si="12"/>
        <v>7.3750000000000284</v>
      </c>
      <c r="I38" s="227">
        <f t="shared" si="13"/>
        <v>96.691703911278296</v>
      </c>
      <c r="J38" s="228">
        <f t="shared" si="14"/>
        <v>94.291666666666629</v>
      </c>
      <c r="K38" s="375" t="str">
        <f t="shared" si="4"/>
        <v/>
      </c>
      <c r="L38" s="54"/>
      <c r="M38" s="54"/>
      <c r="N38" s="54"/>
      <c r="O38" s="54"/>
      <c r="P38" s="54"/>
      <c r="Q38" s="54"/>
      <c r="R38" s="54"/>
      <c r="S38" s="54"/>
      <c r="T38" s="54"/>
      <c r="U38" s="54"/>
    </row>
    <row r="39" spans="1:27" x14ac:dyDescent="0.2">
      <c r="A39" s="251" t="s">
        <v>82</v>
      </c>
      <c r="B39" s="250" t="s">
        <v>82</v>
      </c>
      <c r="C39" s="239">
        <f>VLOOKUP($B39,'[1]4-Disponibilidade'!$A$8:$C$102,2,FALSE)</f>
        <v>81.395347595214844</v>
      </c>
      <c r="D39" s="225">
        <f t="shared" si="11"/>
        <v>86.000001312255876</v>
      </c>
      <c r="E39" s="225">
        <f>VLOOKUP($B39,'[1]4-Disponibilidade'!$A$8:$C$102,3,FALSE)</f>
        <v>70</v>
      </c>
      <c r="F39" s="227">
        <f>IF(ISNA(VLOOKUP($A39,'[1]3-Produção'!$A$9:$C$103,2,FALSE))=TRUE,"n/a",VLOOKUP($A39,'[1]3-Produção'!$A$9:$C$103,2,FALSE))</f>
        <v>10</v>
      </c>
      <c r="G39" s="227">
        <f>IF(ISNA(VLOOKUP($A39,'[1]3-Produção'!$A$9:$C$103,3,FALSE))=TRUE,"n/a",VLOOKUP($A39,'[1]3-Produção'!$A$9:$C$103,3,FALSE))</f>
        <v>12.554166666666665</v>
      </c>
      <c r="H39" s="227">
        <f t="shared" si="12"/>
        <v>2.5541666666666654</v>
      </c>
      <c r="I39" s="227">
        <f t="shared" si="13"/>
        <v>73.445834645589215</v>
      </c>
      <c r="J39" s="228">
        <f t="shared" si="14"/>
        <v>57.445833333333333</v>
      </c>
      <c r="K39" s="375" t="str">
        <f t="shared" si="4"/>
        <v/>
      </c>
      <c r="L39" s="54"/>
      <c r="M39" s="54"/>
      <c r="N39" s="54"/>
      <c r="O39" s="54"/>
      <c r="P39" s="54"/>
      <c r="Q39" s="54"/>
      <c r="R39" s="54"/>
      <c r="S39" s="54"/>
      <c r="T39" s="54"/>
      <c r="U39" s="54"/>
    </row>
    <row r="40" spans="1:27" x14ac:dyDescent="0.2">
      <c r="A40" s="251" t="s">
        <v>83</v>
      </c>
      <c r="B40" s="250" t="s">
        <v>83</v>
      </c>
      <c r="C40" s="239">
        <f>VLOOKUP($B40,'[1]4-Disponibilidade'!$A$8:$C$102,2,FALSE)</f>
        <v>65.104171752929688</v>
      </c>
      <c r="D40" s="225">
        <f t="shared" si="11"/>
        <v>806.39993700000491</v>
      </c>
      <c r="E40" s="225">
        <f>VLOOKUP($B40,'[1]4-Disponibilidade'!$A$8:$C$102,3,FALSE)</f>
        <v>525</v>
      </c>
      <c r="F40" s="227">
        <f>IF(ISNA(VLOOKUP($A40,'[1]3-Produção'!$A$9:$C$103,2,FALSE))=TRUE,"n/a",VLOOKUP($A40,'[1]3-Produção'!$A$9:$C$103,2,FALSE))</f>
        <v>525</v>
      </c>
      <c r="G40" s="227">
        <f>IF(ISNA(VLOOKUP($A40,'[1]3-Produção'!$A$9:$C$103,3,FALSE))=TRUE,"n/a",VLOOKUP($A40,'[1]3-Produção'!$A$9:$C$103,3,FALSE))</f>
        <v>520.9708333333333</v>
      </c>
      <c r="H40" s="227">
        <f t="shared" si="12"/>
        <v>-4.029166666666697</v>
      </c>
      <c r="I40" s="227">
        <f t="shared" si="13"/>
        <v>285.42910366667161</v>
      </c>
      <c r="J40" s="228">
        <f t="shared" si="14"/>
        <v>4.029166666666697</v>
      </c>
      <c r="K40" s="375" t="str">
        <f t="shared" si="4"/>
        <v/>
      </c>
      <c r="R40" s="53"/>
      <c r="S40" s="54"/>
      <c r="T40" s="54"/>
      <c r="U40" s="54"/>
      <c r="V40" s="54"/>
      <c r="W40" s="54"/>
      <c r="X40" s="54"/>
      <c r="Y40" s="54"/>
      <c r="Z40" s="54"/>
      <c r="AA40" s="54"/>
    </row>
    <row r="41" spans="1:27" x14ac:dyDescent="0.2">
      <c r="A41" s="251" t="s">
        <v>20</v>
      </c>
      <c r="B41" s="250" t="s">
        <v>20</v>
      </c>
      <c r="C41" s="239">
        <f>VLOOKUP($B41,'[1]4-Disponibilidade'!$A$8:$C$102,2,FALSE)</f>
        <v>96.590911865234375</v>
      </c>
      <c r="D41" s="225">
        <f t="shared" si="11"/>
        <v>263.99999241727966</v>
      </c>
      <c r="E41" s="225">
        <f>VLOOKUP($B41,'[1]4-Disponibilidade'!$A$8:$C$102,3,FALSE)</f>
        <v>255</v>
      </c>
      <c r="F41" s="227">
        <f>IF(ISNA(VLOOKUP($A41,'[1]3-Produção'!$A$9:$C$103,2,FALSE))=TRUE,"n/a",VLOOKUP($A41,'[1]3-Produção'!$A$9:$C$103,2,FALSE))</f>
        <v>162.91666666666666</v>
      </c>
      <c r="G41" s="227">
        <f>IF(ISNA(VLOOKUP($A41,'[1]3-Produção'!$A$9:$C$103,3,FALSE))=TRUE,"n/a",VLOOKUP($A41,'[1]3-Produção'!$A$9:$C$103,3,FALSE))</f>
        <v>165.69583333333333</v>
      </c>
      <c r="H41" s="227">
        <f t="shared" si="12"/>
        <v>2.7791666666666686</v>
      </c>
      <c r="I41" s="227">
        <f t="shared" si="13"/>
        <v>98.304159083946331</v>
      </c>
      <c r="J41" s="228">
        <f t="shared" si="14"/>
        <v>89.304166666666674</v>
      </c>
      <c r="K41" s="375" t="str">
        <f t="shared" si="4"/>
        <v/>
      </c>
      <c r="R41" s="53"/>
      <c r="S41" s="54"/>
      <c r="T41" s="54"/>
      <c r="U41" s="54"/>
      <c r="V41" s="54"/>
      <c r="W41" s="54"/>
      <c r="X41" s="54"/>
      <c r="Y41" s="54"/>
      <c r="Z41" s="54"/>
      <c r="AA41" s="54"/>
    </row>
    <row r="42" spans="1:27" x14ac:dyDescent="0.2">
      <c r="A42" s="251" t="s">
        <v>84</v>
      </c>
      <c r="B42" s="250" t="s">
        <v>84</v>
      </c>
      <c r="C42" s="239">
        <f>VLOOKUP($B42,'[1]4-Disponibilidade'!$A$8:$C$102,2,FALSE)</f>
        <v>98.655914306640625</v>
      </c>
      <c r="D42" s="225">
        <f t="shared" si="11"/>
        <v>371.99999876266605</v>
      </c>
      <c r="E42" s="225">
        <f>VLOOKUP($B42,'[1]4-Disponibilidade'!$A$8:$C$102,3,FALSE)</f>
        <v>367</v>
      </c>
      <c r="F42" s="227">
        <f>IF(ISNA(VLOOKUP($A42,'[1]3-Produção'!$A$9:$C$103,2,FALSE))=TRUE,"n/a",VLOOKUP($A42,'[1]3-Produção'!$A$9:$C$103,2,FALSE))</f>
        <v>277.5</v>
      </c>
      <c r="G42" s="227">
        <f>IF(ISNA(VLOOKUP($A42,'[1]3-Produção'!$A$9:$C$103,3,FALSE))=TRUE,"n/a",VLOOKUP($A42,'[1]3-Produção'!$A$9:$C$103,3,FALSE))</f>
        <v>288.7791666666667</v>
      </c>
      <c r="H42" s="227">
        <f t="shared" si="12"/>
        <v>11.279166666666697</v>
      </c>
      <c r="I42" s="227">
        <f t="shared" si="13"/>
        <v>83.220832095999356</v>
      </c>
      <c r="J42" s="228">
        <f t="shared" si="14"/>
        <v>78.220833333333303</v>
      </c>
      <c r="K42" s="375" t="str">
        <f t="shared" si="4"/>
        <v/>
      </c>
      <c r="R42" s="53"/>
      <c r="S42" s="54"/>
      <c r="T42" s="54"/>
      <c r="U42" s="54"/>
      <c r="V42" s="54"/>
      <c r="W42" s="54"/>
      <c r="X42" s="54"/>
      <c r="Y42" s="54"/>
      <c r="Z42" s="54"/>
      <c r="AA42" s="54"/>
    </row>
    <row r="43" spans="1:27" x14ac:dyDescent="0.2">
      <c r="A43" s="251" t="s">
        <v>85</v>
      </c>
      <c r="B43" s="250" t="s">
        <v>85</v>
      </c>
      <c r="C43" s="239">
        <f>VLOOKUP($B43,'[1]4-Disponibilidade'!$A$8:$C$102,2,FALSE)</f>
        <v>73.611114501953125</v>
      </c>
      <c r="D43" s="225">
        <f t="shared" si="11"/>
        <v>71.999996683372785</v>
      </c>
      <c r="E43" s="225">
        <f>VLOOKUP($B43,'[1]4-Disponibilidade'!$A$8:$C$102,3,FALSE)</f>
        <v>53</v>
      </c>
      <c r="F43" s="227">
        <f>IF(ISNA(VLOOKUP($A43,'[1]3-Produção'!$A$9:$C$103,2,FALSE))=TRUE,"n/a",VLOOKUP($A43,'[1]3-Produção'!$A$9:$C$103,2,FALSE))</f>
        <v>45.125</v>
      </c>
      <c r="G43" s="227">
        <f>IF(ISNA(VLOOKUP($A43,'[1]3-Produção'!$A$9:$C$103,3,FALSE))=TRUE,"n/a",VLOOKUP($A43,'[1]3-Produção'!$A$9:$C$103,3,FALSE))</f>
        <v>44.6875</v>
      </c>
      <c r="H43" s="227">
        <f t="shared" si="12"/>
        <v>-0.4375</v>
      </c>
      <c r="I43" s="227">
        <f t="shared" si="13"/>
        <v>27.312496683372785</v>
      </c>
      <c r="J43" s="228">
        <f t="shared" si="14"/>
        <v>8.3125</v>
      </c>
      <c r="K43" s="375" t="str">
        <f t="shared" si="4"/>
        <v/>
      </c>
      <c r="R43" s="53"/>
      <c r="S43" s="54"/>
      <c r="T43" s="54"/>
      <c r="U43" s="54"/>
      <c r="V43" s="54"/>
      <c r="W43" s="54"/>
      <c r="X43" s="54"/>
      <c r="Y43" s="54"/>
      <c r="Z43" s="54"/>
      <c r="AA43" s="54"/>
    </row>
    <row r="44" spans="1:27" x14ac:dyDescent="0.2">
      <c r="A44" s="252" t="s">
        <v>86</v>
      </c>
      <c r="B44" s="250" t="s">
        <v>86</v>
      </c>
      <c r="C44" s="239">
        <f>VLOOKUP($B44,'[1]4-Disponibilidade'!$A$8:$C$102,2,FALSE)</f>
        <v>80.505416870117188</v>
      </c>
      <c r="D44" s="225">
        <f t="shared" si="11"/>
        <v>553.99998824867987</v>
      </c>
      <c r="E44" s="225">
        <f>VLOOKUP($B44,'[1]4-Disponibilidade'!$A$8:$C$102,3,FALSE)</f>
        <v>446</v>
      </c>
      <c r="F44" s="227">
        <f>IF(ISNA(VLOOKUP($A44,'[1]3-Produção'!$A$9:$C$103,2,FALSE))=TRUE,"n/a",VLOOKUP($A44,'[1]3-Produção'!$A$9:$C$103,2,FALSE))</f>
        <v>314.79166666666669</v>
      </c>
      <c r="G44" s="227">
        <f>IF(ISNA(VLOOKUP($A44,'[1]3-Produção'!$A$9:$C$103,3,FALSE))=TRUE,"n/a",VLOOKUP($A44,'[1]3-Produção'!$A$9:$C$103,3,FALSE))</f>
        <v>337.53750000000002</v>
      </c>
      <c r="H44" s="227">
        <f t="shared" si="12"/>
        <v>22.745833333333337</v>
      </c>
      <c r="I44" s="227">
        <f t="shared" si="13"/>
        <v>216.46248824867985</v>
      </c>
      <c r="J44" s="228">
        <f t="shared" si="14"/>
        <v>108.46249999999998</v>
      </c>
      <c r="K44" s="375" t="str">
        <f t="shared" si="4"/>
        <v/>
      </c>
      <c r="R44" s="53"/>
      <c r="S44" s="54"/>
      <c r="T44" s="54"/>
      <c r="U44" s="54"/>
      <c r="V44" s="54"/>
      <c r="W44" s="54"/>
      <c r="X44" s="54"/>
      <c r="Y44" s="54"/>
      <c r="Z44" s="54"/>
      <c r="AA44" s="54"/>
    </row>
    <row r="45" spans="1:27" x14ac:dyDescent="0.2">
      <c r="A45" s="251" t="s">
        <v>87</v>
      </c>
      <c r="B45" s="253" t="s">
        <v>87</v>
      </c>
      <c r="C45" s="239">
        <f>VLOOKUP($B45,'[1]4-Disponibilidade'!$A$8:$C$102,2,FALSE)</f>
        <v>80</v>
      </c>
      <c r="D45" s="225">
        <f t="shared" si="2"/>
        <v>810</v>
      </c>
      <c r="E45" s="225">
        <f>VLOOKUP($B45,'[1]4-Disponibilidade'!$A$8:$C$102,3,FALSE)</f>
        <v>648</v>
      </c>
      <c r="F45" s="227">
        <f>IF(ISNA(VLOOKUP($A45,'[1]3-Produção'!$A$9:$C$103,2,FALSE))=TRUE,"n/a",VLOOKUP($A45,'[1]3-Produção'!$A$9:$C$103,2,FALSE))</f>
        <v>148.95833333333334</v>
      </c>
      <c r="G45" s="227">
        <f>IF(ISNA(VLOOKUP($A45,'[1]3-Produção'!$A$9:$C$103,3,FALSE))=TRUE,"n/a",VLOOKUP($A45,'[1]3-Produção'!$A$9:$C$103,3,FALSE))</f>
        <v>254.77916666666667</v>
      </c>
      <c r="H45" s="227">
        <f t="shared" si="3"/>
        <v>105.82083333333333</v>
      </c>
      <c r="I45" s="227">
        <f t="shared" ref="I45:I104" si="15">IF(OR(G45="n/a",D45="n/a"),"n/a",D45-G45)</f>
        <v>555.2208333333333</v>
      </c>
      <c r="J45" s="228">
        <f t="shared" ref="J45:J104" si="16">IF(OR(G45="n/a",G45=0,E45="n/a",E45=0),"n/a",E45-G45)</f>
        <v>393.2208333333333</v>
      </c>
      <c r="K45" s="375" t="str">
        <f t="shared" si="4"/>
        <v/>
      </c>
      <c r="R45" s="53"/>
      <c r="S45" s="54"/>
      <c r="T45" s="54"/>
      <c r="U45" s="54"/>
      <c r="V45" s="54"/>
      <c r="W45" s="54"/>
      <c r="X45" s="54"/>
      <c r="Y45" s="54"/>
      <c r="Z45" s="54"/>
      <c r="AA45" s="54"/>
    </row>
    <row r="46" spans="1:27" x14ac:dyDescent="0.2">
      <c r="A46" s="251" t="s">
        <v>88</v>
      </c>
      <c r="B46" s="250" t="s">
        <v>198</v>
      </c>
      <c r="C46" s="239">
        <f>VLOOKUP($B46,'[1]4-Disponibilidade'!$A$8:$C$102,2,FALSE)</f>
        <v>27.779096603393555</v>
      </c>
      <c r="D46" s="225">
        <f t="shared" si="2"/>
        <v>421.18000333281901</v>
      </c>
      <c r="E46" s="225">
        <f>VLOOKUP($B46,'[1]4-Disponibilidade'!$A$8:$C$102,3,FALSE)</f>
        <v>117</v>
      </c>
      <c r="F46" s="227">
        <f>IF(ISNA(VLOOKUP($A46,'[1]3-Produção'!$A$9:$C$103,2,FALSE))=TRUE,"n/a",VLOOKUP($A46,'[1]3-Produção'!$A$9:$C$103,2,FALSE))</f>
        <v>94.554166666666674</v>
      </c>
      <c r="G46" s="227">
        <f>IF(ISNA(VLOOKUP($A46,'[1]3-Produção'!$A$9:$C$103,3,FALSE))=TRUE,"n/a",VLOOKUP($A46,'[1]3-Produção'!$A$9:$C$103,3,FALSE))</f>
        <v>94.554166666666674</v>
      </c>
      <c r="H46" s="227">
        <f t="shared" si="3"/>
        <v>0</v>
      </c>
      <c r="I46" s="227">
        <f t="shared" si="15"/>
        <v>326.62583666615234</v>
      </c>
      <c r="J46" s="228">
        <f t="shared" si="16"/>
        <v>22.445833333333326</v>
      </c>
      <c r="K46" s="375" t="str">
        <f t="shared" si="4"/>
        <v/>
      </c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x14ac:dyDescent="0.2">
      <c r="A47" s="251" t="s">
        <v>89</v>
      </c>
      <c r="B47" s="250" t="s">
        <v>89</v>
      </c>
      <c r="C47" s="239">
        <f>VLOOKUP($B47,'[1]4-Disponibilidade'!$A$8:$C$102,2,FALSE)</f>
        <v>102.36220550537109</v>
      </c>
      <c r="D47" s="225">
        <f t="shared" si="2"/>
        <v>126.99999903106691</v>
      </c>
      <c r="E47" s="225">
        <f>VLOOKUP($B47,'[1]4-Disponibilidade'!$A$8:$C$102,3,FALSE)</f>
        <v>130</v>
      </c>
      <c r="F47" s="227">
        <f>IF(ISNA(VLOOKUP($A47,'[1]3-Produção'!$A$9:$C$103,2,FALSE))=TRUE,"n/a",VLOOKUP($A47,'[1]3-Produção'!$A$9:$C$103,2,FALSE))</f>
        <v>130</v>
      </c>
      <c r="G47" s="227">
        <f>IF(ISNA(VLOOKUP($A47,'[1]3-Produção'!$A$9:$C$103,3,FALSE))=TRUE,"n/a",VLOOKUP($A47,'[1]3-Produção'!$A$9:$C$103,3,FALSE))</f>
        <v>130</v>
      </c>
      <c r="H47" s="227">
        <f t="shared" si="3"/>
        <v>0</v>
      </c>
      <c r="I47" s="227">
        <f t="shared" si="15"/>
        <v>-3.0000009689330938</v>
      </c>
      <c r="J47" s="228">
        <f t="shared" si="16"/>
        <v>0</v>
      </c>
      <c r="K47" s="375" t="str">
        <f t="shared" si="4"/>
        <v>X</v>
      </c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x14ac:dyDescent="0.2">
      <c r="A48" s="251" t="s">
        <v>187</v>
      </c>
      <c r="B48" s="250" t="s">
        <v>195</v>
      </c>
      <c r="C48" s="239">
        <f>VLOOKUP($B48,'[1]4-Disponibilidade'!$A$8:$C$102,2,FALSE)</f>
        <v>39.401103973388672</v>
      </c>
      <c r="D48" s="225">
        <f t="shared" si="2"/>
        <v>139.58999736948169</v>
      </c>
      <c r="E48" s="225">
        <f>VLOOKUP($B48,'[1]4-Disponibilidade'!$A$8:$C$102,3,FALSE)</f>
        <v>55</v>
      </c>
      <c r="F48" s="227">
        <f>IF(ISNA(VLOOKUP($A48,'[1]3-Produção'!$A$9:$C$103,2,FALSE))=TRUE,"n/a",VLOOKUP($A48,'[1]3-Produção'!$A$9:$C$103,2,FALSE))</f>
        <v>55</v>
      </c>
      <c r="G48" s="227">
        <f>IF(ISNA(VLOOKUP($A48,'[1]3-Produção'!$A$9:$C$103,3,FALSE))=TRUE,"n/a",VLOOKUP($A48,'[1]3-Produção'!$A$9:$C$103,3,FALSE))</f>
        <v>55</v>
      </c>
      <c r="H48" s="227">
        <f t="shared" si="3"/>
        <v>0</v>
      </c>
      <c r="I48" s="227">
        <f t="shared" si="15"/>
        <v>84.589997369481694</v>
      </c>
      <c r="J48" s="228">
        <f t="shared" si="16"/>
        <v>0</v>
      </c>
      <c r="K48" s="375" t="str">
        <f t="shared" si="4"/>
        <v/>
      </c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x14ac:dyDescent="0.2">
      <c r="A49" s="251" t="s">
        <v>90</v>
      </c>
      <c r="B49" s="250" t="s">
        <v>90</v>
      </c>
      <c r="C49" s="239">
        <f>VLOOKUP($B49,'[1]4-Disponibilidade'!$A$8:$C$102,2,FALSE)</f>
        <v>85.501068115234375</v>
      </c>
      <c r="D49" s="225">
        <f t="shared" si="2"/>
        <v>468.99998893528539</v>
      </c>
      <c r="E49" s="225">
        <f>VLOOKUP($B49,'[1]4-Disponibilidade'!$A$8:$C$102,3,FALSE)</f>
        <v>401</v>
      </c>
      <c r="F49" s="227">
        <f>IF(ISNA(VLOOKUP($A49,'[1]3-Produção'!$A$9:$C$103,2,FALSE))=TRUE,"n/a",VLOOKUP($A49,'[1]3-Produção'!$A$9:$C$103,2,FALSE))</f>
        <v>62.458333333333336</v>
      </c>
      <c r="G49" s="227">
        <f>IF(ISNA(VLOOKUP($A49,'[1]3-Produção'!$A$9:$C$103,3,FALSE))=TRUE,"n/a",VLOOKUP($A49,'[1]3-Produção'!$A$9:$C$103,3,FALSE))</f>
        <v>119.42083333333333</v>
      </c>
      <c r="H49" s="227">
        <f t="shared" si="3"/>
        <v>56.962499999999999</v>
      </c>
      <c r="I49" s="227">
        <f t="shared" si="15"/>
        <v>349.57915560195204</v>
      </c>
      <c r="J49" s="228">
        <f t="shared" si="16"/>
        <v>281.57916666666665</v>
      </c>
      <c r="K49" s="375" t="str">
        <f t="shared" si="4"/>
        <v/>
      </c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x14ac:dyDescent="0.2">
      <c r="A50" s="251" t="s">
        <v>91</v>
      </c>
      <c r="B50" s="250" t="s">
        <v>190</v>
      </c>
      <c r="C50" s="239">
        <f>VLOOKUP($B50,'[1]4-Disponibilidade'!$A$8:$C$102,2,FALSE)</f>
        <v>66.666664123535156</v>
      </c>
      <c r="D50" s="225">
        <f t="shared" si="2"/>
        <v>420.0000160217291</v>
      </c>
      <c r="E50" s="225">
        <f>VLOOKUP($B50,'[1]4-Disponibilidade'!$A$8:$C$102,3,FALSE)</f>
        <v>280</v>
      </c>
      <c r="F50" s="227">
        <f>IF(ISNA(VLOOKUP($A50,'[1]3-Produção'!$A$9:$C$103,2,FALSE))=TRUE,"n/a",VLOOKUP($A50,'[1]3-Produção'!$A$9:$C$103,2,FALSE))</f>
        <v>0</v>
      </c>
      <c r="G50" s="227">
        <f>IF(ISNA(VLOOKUP($A50,'[1]3-Produção'!$A$9:$C$103,3,FALSE))=TRUE,"n/a",VLOOKUP($A50,'[1]3-Produção'!$A$9:$C$103,3,FALSE))</f>
        <v>69.983333333333334</v>
      </c>
      <c r="H50" s="227">
        <f t="shared" si="3"/>
        <v>69.983333333333334</v>
      </c>
      <c r="I50" s="227">
        <f t="shared" si="15"/>
        <v>350.01668268839575</v>
      </c>
      <c r="J50" s="228">
        <f t="shared" si="16"/>
        <v>210.01666666666665</v>
      </c>
      <c r="K50" s="375" t="str">
        <f t="shared" si="4"/>
        <v/>
      </c>
      <c r="S50" s="54"/>
      <c r="T50" s="54"/>
      <c r="U50" s="54"/>
      <c r="V50" s="54"/>
      <c r="W50" s="54"/>
      <c r="X50" s="54"/>
      <c r="Y50" s="54"/>
      <c r="Z50" s="54"/>
      <c r="AA50" s="54"/>
    </row>
    <row r="51" spans="1:27" x14ac:dyDescent="0.2">
      <c r="A51" s="251" t="s">
        <v>92</v>
      </c>
      <c r="B51" s="250" t="s">
        <v>92</v>
      </c>
      <c r="C51" s="239">
        <f>VLOOKUP($B51,'[1]4-Disponibilidade'!$A$8:$C$102,2,FALSE)</f>
        <v>41.067760467529297</v>
      </c>
      <c r="D51" s="225">
        <f t="shared" si="2"/>
        <v>48.700001588382776</v>
      </c>
      <c r="E51" s="225">
        <f>VLOOKUP($B51,'[1]4-Disponibilidade'!$A$8:$C$102,3,FALSE)</f>
        <v>20</v>
      </c>
      <c r="F51" s="227">
        <f>IF(ISNA(VLOOKUP($A51,'[1]3-Produção'!$A$9:$C$103,2,FALSE))=TRUE,"n/a",VLOOKUP($A51,'[1]3-Produção'!$A$9:$C$103,2,FALSE))</f>
        <v>20</v>
      </c>
      <c r="G51" s="227">
        <f>IF(ISNA(VLOOKUP($A51,'[1]3-Produção'!$A$9:$C$103,3,FALSE))=TRUE,"n/a",VLOOKUP($A51,'[1]3-Produção'!$A$9:$C$103,3,FALSE))</f>
        <v>20</v>
      </c>
      <c r="H51" s="227">
        <f t="shared" si="3"/>
        <v>0</v>
      </c>
      <c r="I51" s="227">
        <f t="shared" si="15"/>
        <v>28.700001588382776</v>
      </c>
      <c r="J51" s="228">
        <f t="shared" si="16"/>
        <v>0</v>
      </c>
      <c r="K51" s="375" t="str">
        <f t="shared" si="4"/>
        <v/>
      </c>
    </row>
    <row r="52" spans="1:27" x14ac:dyDescent="0.2">
      <c r="A52" s="251" t="s">
        <v>93</v>
      </c>
      <c r="B52" s="250" t="s">
        <v>93</v>
      </c>
      <c r="C52" s="239">
        <f>VLOOKUP($B52,'[1]4-Disponibilidade'!$A$8:$C$102,2,FALSE)</f>
        <v>97.56097412109375</v>
      </c>
      <c r="D52" s="225">
        <f t="shared" si="2"/>
        <v>328.00000500488289</v>
      </c>
      <c r="E52" s="225">
        <f>VLOOKUP($B52,'[1]4-Disponibilidade'!$A$8:$C$102,3,FALSE)</f>
        <v>320</v>
      </c>
      <c r="F52" s="227">
        <f>IF(ISNA(VLOOKUP($A52,'[1]3-Produção'!$A$9:$C$103,2,FALSE))=TRUE,"n/a",VLOOKUP($A52,'[1]3-Produção'!$A$9:$C$103,2,FALSE))</f>
        <v>158.33333333333334</v>
      </c>
      <c r="G52" s="227">
        <f>IF(ISNA(VLOOKUP($A52,'[1]3-Produção'!$A$9:$C$103,3,FALSE))=TRUE,"n/a",VLOOKUP($A52,'[1]3-Produção'!$A$9:$C$103,3,FALSE))</f>
        <v>186.00833333333335</v>
      </c>
      <c r="H52" s="227">
        <f t="shared" si="3"/>
        <v>27.675000000000011</v>
      </c>
      <c r="I52" s="227">
        <f t="shared" si="15"/>
        <v>141.99167167154954</v>
      </c>
      <c r="J52" s="228">
        <f t="shared" si="16"/>
        <v>133.99166666666665</v>
      </c>
      <c r="K52" s="375" t="str">
        <f t="shared" si="4"/>
        <v/>
      </c>
    </row>
    <row r="53" spans="1:27" x14ac:dyDescent="0.2">
      <c r="A53" s="251" t="s">
        <v>203</v>
      </c>
      <c r="B53" s="250" t="s">
        <v>188</v>
      </c>
      <c r="C53" s="239">
        <f>VLOOKUP($B53,'[1]4-Disponibilidade'!$A$8:$C$102,2,FALSE)</f>
        <v>100</v>
      </c>
      <c r="D53" s="225">
        <f t="shared" si="2"/>
        <v>375</v>
      </c>
      <c r="E53" s="225">
        <f>VLOOKUP($B53,'[1]4-Disponibilidade'!$A$8:$C$102,3,FALSE)</f>
        <v>375</v>
      </c>
      <c r="F53" s="227">
        <f>IF(ISNA(VLOOKUP($A53,'[1]3-Produção'!$A$9:$C$103,2,FALSE))=TRUE,"n/a",VLOOKUP($A53,'[1]3-Produção'!$A$9:$C$103,2,FALSE))</f>
        <v>375</v>
      </c>
      <c r="G53" s="227">
        <f>IF(ISNA(VLOOKUP($A53,'[1]3-Produção'!$A$9:$C$103,3,FALSE))=TRUE,"n/a",VLOOKUP($A53,'[1]3-Produção'!$A$9:$C$103,3,FALSE))</f>
        <v>373.64166666666665</v>
      </c>
      <c r="H53" s="227">
        <f t="shared" si="3"/>
        <v>-1.3583333333333485</v>
      </c>
      <c r="I53" s="227">
        <f t="shared" si="15"/>
        <v>1.3583333333333485</v>
      </c>
      <c r="J53" s="228">
        <f t="shared" si="16"/>
        <v>1.3583333333333485</v>
      </c>
      <c r="K53" s="375" t="str">
        <f t="shared" si="4"/>
        <v/>
      </c>
    </row>
    <row r="54" spans="1:27" x14ac:dyDescent="0.2">
      <c r="A54" s="251" t="s">
        <v>94</v>
      </c>
      <c r="B54" s="250" t="s">
        <v>94</v>
      </c>
      <c r="C54" s="239">
        <f>VLOOKUP($B54,'[1]4-Disponibilidade'!$A$8:$C$102,2,FALSE)</f>
        <v>83.783782958984375</v>
      </c>
      <c r="D54" s="225">
        <f t="shared" si="2"/>
        <v>222.00000218545236</v>
      </c>
      <c r="E54" s="225">
        <f>VLOOKUP($B54,'[1]4-Disponibilidade'!$A$8:$C$102,3,FALSE)</f>
        <v>186</v>
      </c>
      <c r="F54" s="227">
        <f>IF(ISNA(VLOOKUP($A54,'[1]3-Produção'!$A$9:$C$103,2,FALSE))=TRUE,"n/a",VLOOKUP($A54,'[1]3-Produção'!$A$9:$C$103,2,FALSE))</f>
        <v>118.33333333333333</v>
      </c>
      <c r="G54" s="227">
        <f>IF(ISNA(VLOOKUP($A54,'[1]3-Produção'!$A$9:$C$103,3,FALSE))=TRUE,"n/a",VLOOKUP($A54,'[1]3-Produção'!$A$9:$C$103,3,FALSE))</f>
        <v>131.78749999999999</v>
      </c>
      <c r="H54" s="227">
        <f t="shared" si="3"/>
        <v>13.454166666666666</v>
      </c>
      <c r="I54" s="227">
        <f t="shared" si="15"/>
        <v>90.212502185452365</v>
      </c>
      <c r="J54" s="228">
        <f t="shared" si="16"/>
        <v>54.212500000000006</v>
      </c>
      <c r="K54" s="375" t="str">
        <f t="shared" si="4"/>
        <v/>
      </c>
    </row>
    <row r="55" spans="1:27" x14ac:dyDescent="0.2">
      <c r="A55" s="251" t="s">
        <v>5</v>
      </c>
      <c r="B55" s="250" t="s">
        <v>5</v>
      </c>
      <c r="C55" s="239">
        <f>VLOOKUP($B55,'[1]4-Disponibilidade'!$A$8:$C$102,2,FALSE)</f>
        <v>72.56097412109375</v>
      </c>
      <c r="D55" s="225">
        <f t="shared" si="2"/>
        <v>1312.0000269170173</v>
      </c>
      <c r="E55" s="225">
        <f>VLOOKUP($B55,'[1]4-Disponibilidade'!$A$8:$C$102,3,FALSE)</f>
        <v>952</v>
      </c>
      <c r="F55" s="227">
        <f>IF(ISNA(VLOOKUP($A55,'[1]3-Produção'!$A$9:$C$103,2,FALSE))=TRUE,"n/a",VLOOKUP($A55,'[1]3-Produção'!$A$9:$C$103,2,FALSE))</f>
        <v>404.16666666666669</v>
      </c>
      <c r="G55" s="227">
        <f>IF(ISNA(VLOOKUP($A55,'[1]3-Produção'!$A$9:$C$103,3,FALSE))=TRUE,"n/a",VLOOKUP($A55,'[1]3-Produção'!$A$9:$C$103,3,FALSE))</f>
        <v>490.10833333333335</v>
      </c>
      <c r="H55" s="227">
        <f t="shared" si="3"/>
        <v>85.941666666666663</v>
      </c>
      <c r="I55" s="227">
        <f t="shared" si="15"/>
        <v>821.89169358368395</v>
      </c>
      <c r="J55" s="228">
        <f t="shared" si="16"/>
        <v>461.89166666666665</v>
      </c>
      <c r="K55" s="375" t="str">
        <f t="shared" si="4"/>
        <v/>
      </c>
      <c r="R55" s="5"/>
    </row>
    <row r="56" spans="1:27" x14ac:dyDescent="0.2">
      <c r="A56" s="251" t="s">
        <v>12</v>
      </c>
      <c r="B56" s="250" t="s">
        <v>12</v>
      </c>
      <c r="C56" s="239">
        <f>VLOOKUP($B56,'[1]4-Disponibilidade'!$A$8:$C$102,2,FALSE)</f>
        <v>65.789474487304688</v>
      </c>
      <c r="D56" s="225">
        <f t="shared" si="2"/>
        <v>2279.9999721679692</v>
      </c>
      <c r="E56" s="225">
        <f>VLOOKUP($B56,'[1]4-Disponibilidade'!$A$8:$C$102,3,FALSE)</f>
        <v>1500</v>
      </c>
      <c r="F56" s="227">
        <f>IF(ISNA(VLOOKUP($A56,'[1]3-Produção'!$A$9:$C$103,2,FALSE))=TRUE,"n/a",VLOOKUP($A56,'[1]3-Produção'!$A$9:$C$103,2,FALSE))</f>
        <v>816.66666666666663</v>
      </c>
      <c r="G56" s="227">
        <f>IF(ISNA(VLOOKUP($A56,'[1]3-Produção'!$A$9:$C$103,3,FALSE))=TRUE,"n/a",VLOOKUP($A56,'[1]3-Produção'!$A$9:$C$103,3,FALSE))</f>
        <v>900.83749999999998</v>
      </c>
      <c r="H56" s="227">
        <f t="shared" si="3"/>
        <v>84.170833333333348</v>
      </c>
      <c r="I56" s="227">
        <f t="shared" si="15"/>
        <v>1379.1624721679691</v>
      </c>
      <c r="J56" s="228">
        <f t="shared" si="16"/>
        <v>599.16250000000002</v>
      </c>
      <c r="K56" s="375" t="str">
        <f t="shared" si="4"/>
        <v/>
      </c>
      <c r="R56" s="5"/>
    </row>
    <row r="57" spans="1:27" x14ac:dyDescent="0.2">
      <c r="A57" s="251" t="s">
        <v>95</v>
      </c>
      <c r="B57" s="250" t="s">
        <v>95</v>
      </c>
      <c r="C57" s="239">
        <f>VLOOKUP($B57,'[1]4-Disponibilidade'!$A$8:$C$102,2,FALSE)</f>
        <v>95.108695983886719</v>
      </c>
      <c r="D57" s="225">
        <f t="shared" si="2"/>
        <v>1103.9999961495535</v>
      </c>
      <c r="E57" s="225">
        <f>VLOOKUP($B57,'[1]4-Disponibilidade'!$A$8:$C$102,3,FALSE)</f>
        <v>1050</v>
      </c>
      <c r="F57" s="227">
        <f>IF(ISNA(VLOOKUP($A57,'[1]3-Produção'!$A$9:$C$103,2,FALSE))=TRUE,"n/a",VLOOKUP($A57,'[1]3-Produção'!$A$9:$C$103,2,FALSE))</f>
        <v>302.08333333333331</v>
      </c>
      <c r="G57" s="227">
        <f>IF(ISNA(VLOOKUP($A57,'[1]3-Produção'!$A$9:$C$103,3,FALSE))=TRUE,"n/a",VLOOKUP($A57,'[1]3-Produção'!$A$9:$C$103,3,FALSE))</f>
        <v>358.72083333333325</v>
      </c>
      <c r="H57" s="227">
        <f t="shared" si="3"/>
        <v>56.637499999999932</v>
      </c>
      <c r="I57" s="227">
        <f t="shared" si="15"/>
        <v>745.27916281622015</v>
      </c>
      <c r="J57" s="228">
        <f t="shared" si="16"/>
        <v>691.2791666666667</v>
      </c>
      <c r="K57" s="375" t="str">
        <f t="shared" si="4"/>
        <v/>
      </c>
      <c r="R57" s="5"/>
    </row>
    <row r="58" spans="1:27" x14ac:dyDescent="0.2">
      <c r="A58" s="251" t="s">
        <v>275</v>
      </c>
      <c r="B58" s="250" t="s">
        <v>275</v>
      </c>
      <c r="C58" s="239">
        <f>VLOOKUP($B58,'[1]4-Disponibilidade'!$A$8:$C$102,2,FALSE)</f>
        <v>45.714286804199219</v>
      </c>
      <c r="D58" s="225">
        <f>IF(AND(C58=0,E58=0),"n/a",E58/C58*100)</f>
        <v>52.499998748302488</v>
      </c>
      <c r="E58" s="225">
        <f>VLOOKUP($B58,'[1]4-Disponibilidade'!$A$8:$C$102,3,FALSE)</f>
        <v>24</v>
      </c>
      <c r="F58" s="227">
        <f>IF(ISNA(VLOOKUP($A58,'[1]3-Produção'!$A$9:$C$103,2,FALSE))=TRUE,"n/a",VLOOKUP($A58,'[1]3-Produção'!$A$9:$C$103,2,FALSE))</f>
        <v>24</v>
      </c>
      <c r="G58" s="227">
        <f>IF(ISNA(VLOOKUP($A58,'[1]3-Produção'!$A$9:$C$103,3,FALSE))=TRUE,"n/a",VLOOKUP($A58,'[1]3-Produção'!$A$9:$C$103,3,FALSE))</f>
        <v>24</v>
      </c>
      <c r="H58" s="227">
        <f>IF(OR(F58="n/a",G58="n/a"),"n/a",G58-F58)</f>
        <v>0</v>
      </c>
      <c r="I58" s="227">
        <f>IF(OR(G58="n/a",D58="n/a"),"n/a",D58-G58)</f>
        <v>28.499998748302488</v>
      </c>
      <c r="J58" s="228">
        <f>IF(OR(G58="n/a",G58=0,E58="n/a",E58=0),"n/a",E58-G58)</f>
        <v>0</v>
      </c>
      <c r="K58" s="375" t="str">
        <f t="shared" si="4"/>
        <v/>
      </c>
      <c r="R58" s="5"/>
    </row>
    <row r="59" spans="1:27" x14ac:dyDescent="0.2">
      <c r="A59" s="251" t="s">
        <v>6</v>
      </c>
      <c r="B59" s="250" t="s">
        <v>6</v>
      </c>
      <c r="C59" s="239">
        <f>VLOOKUP($B59,'[1]4-Disponibilidade'!$A$8:$C$102,2,FALSE)</f>
        <v>89.121337890625</v>
      </c>
      <c r="D59" s="225">
        <f t="shared" si="2"/>
        <v>478.00000547883661</v>
      </c>
      <c r="E59" s="225">
        <f>VLOOKUP($B59,'[1]4-Disponibilidade'!$A$8:$C$102,3,FALSE)</f>
        <v>426</v>
      </c>
      <c r="F59" s="227">
        <f>IF(ISNA(VLOOKUP($A59,'[1]3-Produção'!$A$9:$C$103,2,FALSE))=TRUE,"n/a",VLOOKUP($A59,'[1]3-Produção'!$A$9:$C$103,2,FALSE))</f>
        <v>260.41666666666669</v>
      </c>
      <c r="G59" s="227">
        <f>IF(ISNA(VLOOKUP($A59,'[1]3-Produção'!$A$9:$C$103,3,FALSE))=TRUE,"n/a",VLOOKUP($A59,'[1]3-Produção'!$A$9:$C$103,3,FALSE))</f>
        <v>289.78333333333336</v>
      </c>
      <c r="H59" s="227">
        <f t="shared" si="3"/>
        <v>29.366666666666674</v>
      </c>
      <c r="I59" s="227">
        <f t="shared" si="15"/>
        <v>188.21667214550325</v>
      </c>
      <c r="J59" s="228">
        <f t="shared" si="16"/>
        <v>136.21666666666664</v>
      </c>
      <c r="K59" s="375" t="str">
        <f t="shared" si="4"/>
        <v/>
      </c>
      <c r="R59" s="5"/>
    </row>
    <row r="60" spans="1:27" x14ac:dyDescent="0.2">
      <c r="A60" s="251" t="s">
        <v>7</v>
      </c>
      <c r="B60" s="250" t="s">
        <v>7</v>
      </c>
      <c r="C60" s="239">
        <f>VLOOKUP($B60,'[1]4-Disponibilidade'!$A$8:$C$102,2,FALSE)</f>
        <v>65.860214233398438</v>
      </c>
      <c r="D60" s="225">
        <f t="shared" si="2"/>
        <v>1488.0000185347578</v>
      </c>
      <c r="E60" s="225">
        <f>VLOOKUP($B60,'[1]4-Disponibilidade'!$A$8:$C$102,3,FALSE)</f>
        <v>980</v>
      </c>
      <c r="F60" s="227">
        <f>IF(ISNA(VLOOKUP($A60,'[1]3-Produção'!$A$9:$C$103,2,FALSE))=TRUE,"n/a",VLOOKUP($A60,'[1]3-Produção'!$A$9:$C$103,2,FALSE))</f>
        <v>690.83333333333337</v>
      </c>
      <c r="G60" s="227">
        <f>IF(ISNA(VLOOKUP($A60,'[1]3-Produção'!$A$9:$C$103,3,FALSE))=TRUE,"n/a",VLOOKUP($A60,'[1]3-Produção'!$A$9:$C$103,3,FALSE))</f>
        <v>740.60833333333346</v>
      </c>
      <c r="H60" s="227">
        <f t="shared" si="3"/>
        <v>49.775000000000091</v>
      </c>
      <c r="I60" s="227">
        <f t="shared" si="15"/>
        <v>747.39168520142437</v>
      </c>
      <c r="J60" s="228">
        <f t="shared" si="16"/>
        <v>239.39166666666654</v>
      </c>
      <c r="K60" s="375" t="str">
        <f t="shared" si="4"/>
        <v/>
      </c>
      <c r="R60" s="5"/>
    </row>
    <row r="61" spans="1:27" x14ac:dyDescent="0.2">
      <c r="A61" s="251" t="s">
        <v>96</v>
      </c>
      <c r="B61" s="250" t="s">
        <v>202</v>
      </c>
      <c r="C61" s="239">
        <f>VLOOKUP($B61,'[1]4-Disponibilidade'!$A$8:$C$102,2,FALSE)</f>
        <v>81.395347595214844</v>
      </c>
      <c r="D61" s="225">
        <f t="shared" si="2"/>
        <v>1290.0000196838382</v>
      </c>
      <c r="E61" s="225">
        <f>VLOOKUP($B61,'[1]4-Disponibilidade'!$A$8:$C$102,3,FALSE)</f>
        <v>1050</v>
      </c>
      <c r="F61" s="227">
        <f>IF(ISNA(VLOOKUP($A61,'[1]3-Produção'!$A$9:$C$103,2,FALSE))=TRUE,"n/a",VLOOKUP($A61,'[1]3-Produção'!$A$9:$C$103,2,FALSE))</f>
        <v>1027.0833333333333</v>
      </c>
      <c r="G61" s="227">
        <f>IF(ISNA(VLOOKUP($A61,'[1]3-Produção'!$A$9:$C$103,3,FALSE))=TRUE,"n/a",VLOOKUP($A61,'[1]3-Produção'!$A$9:$C$103,3,FALSE))</f>
        <v>1029.9875</v>
      </c>
      <c r="H61" s="227">
        <f t="shared" si="3"/>
        <v>2.904166666666697</v>
      </c>
      <c r="I61" s="227">
        <f t="shared" si="15"/>
        <v>260.01251968383826</v>
      </c>
      <c r="J61" s="228">
        <f t="shared" si="16"/>
        <v>20.012500000000045</v>
      </c>
      <c r="K61" s="375" t="str">
        <f t="shared" si="4"/>
        <v/>
      </c>
      <c r="R61" s="5"/>
    </row>
    <row r="62" spans="1:27" x14ac:dyDescent="0.2">
      <c r="A62" s="251" t="s">
        <v>97</v>
      </c>
      <c r="B62" s="250" t="s">
        <v>97</v>
      </c>
      <c r="C62" s="239">
        <f>VLOOKUP($B62,'[1]4-Disponibilidade'!$A$8:$C$102,2,FALSE)</f>
        <v>81.306991577148438</v>
      </c>
      <c r="D62" s="225">
        <f t="shared" si="2"/>
        <v>657.99999436993471</v>
      </c>
      <c r="E62" s="225">
        <f>VLOOKUP($B62,'[1]4-Disponibilidade'!$A$8:$C$102,3,FALSE)</f>
        <v>535</v>
      </c>
      <c r="F62" s="227">
        <f>IF(ISNA(VLOOKUP($A62,'[1]3-Produção'!$A$9:$C$103,2,FALSE))=TRUE,"n/a",VLOOKUP($A62,'[1]3-Produção'!$A$9:$C$103,2,FALSE))</f>
        <v>348.125</v>
      </c>
      <c r="G62" s="227">
        <f>IF(ISNA(VLOOKUP($A62,'[1]3-Produção'!$A$9:$C$103,3,FALSE))=TRUE,"n/a",VLOOKUP($A62,'[1]3-Produção'!$A$9:$C$103,3,FALSE))</f>
        <v>406.91250000000002</v>
      </c>
      <c r="H62" s="227">
        <f t="shared" si="3"/>
        <v>58.787500000000023</v>
      </c>
      <c r="I62" s="227">
        <f t="shared" si="15"/>
        <v>251.08749436993469</v>
      </c>
      <c r="J62" s="228">
        <f t="shared" si="16"/>
        <v>128.08749999999998</v>
      </c>
      <c r="K62" s="375" t="str">
        <f t="shared" si="4"/>
        <v/>
      </c>
      <c r="R62" s="5"/>
    </row>
    <row r="63" spans="1:27" x14ac:dyDescent="0.2">
      <c r="A63" s="251" t="s">
        <v>98</v>
      </c>
      <c r="B63" s="250" t="s">
        <v>98</v>
      </c>
      <c r="C63" s="239">
        <f>VLOOKUP($B63,'[1]4-Disponibilidade'!$A$8:$C$102,2,FALSE)</f>
        <v>100</v>
      </c>
      <c r="D63" s="225">
        <f t="shared" si="2"/>
        <v>132</v>
      </c>
      <c r="E63" s="225">
        <f>VLOOKUP($B63,'[1]4-Disponibilidade'!$A$8:$C$102,3,FALSE)</f>
        <v>132</v>
      </c>
      <c r="F63" s="227">
        <f>IF(ISNA(VLOOKUP($A63,'[1]3-Produção'!$A$9:$C$103,2,FALSE))=TRUE,"n/a",VLOOKUP($A63,'[1]3-Produção'!$A$9:$C$103,2,FALSE))</f>
        <v>106.79166666666667</v>
      </c>
      <c r="G63" s="227">
        <f>IF(ISNA(VLOOKUP($A63,'[1]3-Produção'!$A$9:$C$103,3,FALSE))=TRUE,"n/a",VLOOKUP($A63,'[1]3-Produção'!$A$9:$C$103,3,FALSE))</f>
        <v>105.3625</v>
      </c>
      <c r="H63" s="227">
        <f t="shared" si="3"/>
        <v>-1.4291666666666742</v>
      </c>
      <c r="I63" s="227">
        <f t="shared" si="15"/>
        <v>26.637500000000003</v>
      </c>
      <c r="J63" s="228">
        <f t="shared" si="16"/>
        <v>26.637500000000003</v>
      </c>
      <c r="K63" s="375" t="str">
        <f t="shared" si="4"/>
        <v/>
      </c>
      <c r="R63" s="5"/>
    </row>
    <row r="64" spans="1:27" x14ac:dyDescent="0.2">
      <c r="A64" s="252" t="s">
        <v>99</v>
      </c>
      <c r="B64" s="250" t="s">
        <v>99</v>
      </c>
      <c r="C64" s="239">
        <f>VLOOKUP($B64,'[1]4-Disponibilidade'!$A$8:$C$102,2,FALSE)</f>
        <v>86.206893920898438</v>
      </c>
      <c r="D64" s="225">
        <f t="shared" si="2"/>
        <v>174.00000531005875</v>
      </c>
      <c r="E64" s="225">
        <f>VLOOKUP($B64,'[1]4-Disponibilidade'!$A$8:$C$102,3,FALSE)</f>
        <v>150</v>
      </c>
      <c r="F64" s="227">
        <f>IF(ISNA(VLOOKUP($A64,'[1]3-Produção'!$A$9:$C$103,2,FALSE))=TRUE,"n/a",VLOOKUP($A64,'[1]3-Produção'!$A$9:$C$103,2,FALSE))</f>
        <v>68.875</v>
      </c>
      <c r="G64" s="227">
        <f>IF(ISNA(VLOOKUP($A64,'[1]3-Produção'!$A$9:$C$103,3,FALSE))=TRUE,"n/a",VLOOKUP($A64,'[1]3-Produção'!$A$9:$C$103,3,FALSE))</f>
        <v>67.158333333333331</v>
      </c>
      <c r="H64" s="227">
        <f t="shared" si="3"/>
        <v>-1.7166666666666686</v>
      </c>
      <c r="I64" s="227">
        <f t="shared" si="15"/>
        <v>106.84167197672542</v>
      </c>
      <c r="J64" s="228">
        <f t="shared" si="16"/>
        <v>82.841666666666669</v>
      </c>
      <c r="K64" s="375" t="str">
        <f t="shared" si="4"/>
        <v/>
      </c>
      <c r="R64" s="5"/>
    </row>
    <row r="65" spans="1:18" x14ac:dyDescent="0.2">
      <c r="A65" s="252" t="s">
        <v>100</v>
      </c>
      <c r="B65" s="250" t="s">
        <v>100</v>
      </c>
      <c r="C65" s="239">
        <f>VLOOKUP($B65,'[1]4-Disponibilidade'!$A$8:$C$102,2,FALSE)</f>
        <v>100</v>
      </c>
      <c r="D65" s="225">
        <f t="shared" si="2"/>
        <v>380</v>
      </c>
      <c r="E65" s="225">
        <f>VLOOKUP($B65,'[1]4-Disponibilidade'!$A$8:$C$102,3,FALSE)</f>
        <v>380</v>
      </c>
      <c r="F65" s="227">
        <f>IF(ISNA(VLOOKUP($A65,'[1]3-Produção'!$A$9:$C$103,2,FALSE))=TRUE,"n/a",VLOOKUP($A65,'[1]3-Produção'!$A$9:$C$103,2,FALSE))</f>
        <v>325.83333333333331</v>
      </c>
      <c r="G65" s="227">
        <f>IF(ISNA(VLOOKUP($A65,'[1]3-Produção'!$A$9:$C$103,3,FALSE))=TRUE,"n/a",VLOOKUP($A65,'[1]3-Produção'!$A$9:$C$103,3,FALSE))</f>
        <v>341.38749999999999</v>
      </c>
      <c r="H65" s="227">
        <f t="shared" si="3"/>
        <v>15.554166666666674</v>
      </c>
      <c r="I65" s="227">
        <f t="shared" si="15"/>
        <v>38.612500000000011</v>
      </c>
      <c r="J65" s="228">
        <f t="shared" si="16"/>
        <v>38.612500000000011</v>
      </c>
      <c r="K65" s="375" t="str">
        <f t="shared" si="4"/>
        <v/>
      </c>
      <c r="R65" s="5"/>
    </row>
    <row r="66" spans="1:18" x14ac:dyDescent="0.2">
      <c r="A66" s="252" t="s">
        <v>101</v>
      </c>
      <c r="B66" s="253" t="s">
        <v>101</v>
      </c>
      <c r="C66" s="239">
        <f>VLOOKUP($B66,'[1]4-Disponibilidade'!$A$8:$C$102,2,FALSE)</f>
        <v>100</v>
      </c>
      <c r="D66" s="226">
        <f t="shared" si="2"/>
        <v>100</v>
      </c>
      <c r="E66" s="225">
        <f>VLOOKUP($B66,'[1]4-Disponibilidade'!$A$8:$C$102,3,FALSE)</f>
        <v>100</v>
      </c>
      <c r="F66" s="227">
        <f>IF(ISNA(VLOOKUP($A66,'[1]3-Produção'!$A$9:$C$103,2,FALSE))=TRUE,"n/a",VLOOKUP($A66,'[1]3-Produção'!$A$9:$C$103,2,FALSE))</f>
        <v>44.791666666666664</v>
      </c>
      <c r="G66" s="227">
        <f>IF(ISNA(VLOOKUP($A66,'[1]3-Produção'!$A$9:$C$103,3,FALSE))=TRUE,"n/a",VLOOKUP($A66,'[1]3-Produção'!$A$9:$C$103,3,FALSE))</f>
        <v>49.558333333333337</v>
      </c>
      <c r="H66" s="227">
        <f t="shared" si="3"/>
        <v>4.7666666666666728</v>
      </c>
      <c r="I66" s="227">
        <f t="shared" si="15"/>
        <v>50.441666666666663</v>
      </c>
      <c r="J66" s="228">
        <f t="shared" si="16"/>
        <v>50.441666666666663</v>
      </c>
      <c r="K66" s="375" t="str">
        <f t="shared" si="4"/>
        <v/>
      </c>
      <c r="R66" s="5"/>
    </row>
    <row r="67" spans="1:18" x14ac:dyDescent="0.2">
      <c r="A67" s="251" t="s">
        <v>102</v>
      </c>
      <c r="B67" s="253" t="s">
        <v>200</v>
      </c>
      <c r="C67" s="239">
        <f>VLOOKUP($B67,'[1]4-Disponibilidade'!$A$8:$C$102,2,FALSE)</f>
        <v>21.052631378173828</v>
      </c>
      <c r="D67" s="226">
        <f t="shared" si="2"/>
        <v>57.000000543594368</v>
      </c>
      <c r="E67" s="225">
        <f>VLOOKUP($B67,'[1]4-Disponibilidade'!$A$8:$C$102,3,FALSE)</f>
        <v>12</v>
      </c>
      <c r="F67" s="227">
        <f>IF(ISNA(VLOOKUP($A67,'[1]3-Produção'!$A$9:$C$103,2,FALSE))=TRUE,"n/a",VLOOKUP($A67,'[1]3-Produção'!$A$9:$C$103,2,FALSE))</f>
        <v>12</v>
      </c>
      <c r="G67" s="227">
        <f>IF(ISNA(VLOOKUP($A67,'[1]3-Produção'!$A$9:$C$103,3,FALSE))=TRUE,"n/a",VLOOKUP($A67,'[1]3-Produção'!$A$9:$C$103,3,FALSE))</f>
        <v>12.025</v>
      </c>
      <c r="H67" s="227">
        <f t="shared" si="3"/>
        <v>2.5000000000000355E-2</v>
      </c>
      <c r="I67" s="227">
        <f t="shared" si="15"/>
        <v>44.975000543594369</v>
      </c>
      <c r="J67" s="228">
        <f t="shared" si="16"/>
        <v>-2.5000000000000355E-2</v>
      </c>
      <c r="K67" s="375" t="str">
        <f t="shared" si="4"/>
        <v/>
      </c>
      <c r="R67" s="5"/>
    </row>
    <row r="68" spans="1:18" x14ac:dyDescent="0.2">
      <c r="A68" s="252" t="s">
        <v>116</v>
      </c>
      <c r="B68" s="253" t="s">
        <v>116</v>
      </c>
      <c r="C68" s="239">
        <f>VLOOKUP($B68,'[1]4-Disponibilidade'!$A$8:$C$102,2,FALSE)</f>
        <v>88.206352233886719</v>
      </c>
      <c r="D68" s="225">
        <f>IF(AND(C68=0,E68=0),"n/a",E68/C68*100)</f>
        <v>6299.9997837628944</v>
      </c>
      <c r="E68" s="225">
        <f>VLOOKUP($B68,'[1]4-Disponibilidade'!$A$8:$C$102,3,FALSE)</f>
        <v>5557</v>
      </c>
      <c r="F68" s="227">
        <f>IF(ISNA(VLOOKUP($A68,'[1]3-Produção'!$A$9:$C$103,2,FALSE))=TRUE,"n/a",VLOOKUP($A68,'[1]3-Produção'!$A$9:$C$103,2,FALSE))</f>
        <v>5483.333333333333</v>
      </c>
      <c r="G68" s="227">
        <f>IF(ISNA(VLOOKUP($A68,'[1]3-Produção'!$A$9:$C$103,3,FALSE))=TRUE,"n/a",VLOOKUP($A68,'[1]3-Produção'!$A$9:$C$103,3,FALSE))</f>
        <v>5420.8625000000002</v>
      </c>
      <c r="H68" s="227">
        <f>IF(OR(F68="n/a",G68="n/a"),"n/a",G68-F68)</f>
        <v>-62.470833333332848</v>
      </c>
      <c r="I68" s="227">
        <f>IF(OR(G68="n/a",D68="n/a"),"n/a",D68-G68)</f>
        <v>879.13728376289419</v>
      </c>
      <c r="J68" s="228">
        <f>IF(OR(G68="n/a",G68=0,E68="n/a",E68=0),"n/a",E68-G68)</f>
        <v>136.13749999999982</v>
      </c>
      <c r="K68" s="375" t="str">
        <f t="shared" si="4"/>
        <v/>
      </c>
      <c r="R68" s="5"/>
    </row>
    <row r="69" spans="1:18" ht="13.5" thickBot="1" x14ac:dyDescent="0.25">
      <c r="A69" s="256" t="s">
        <v>117</v>
      </c>
      <c r="B69" s="257" t="s">
        <v>117</v>
      </c>
      <c r="C69" s="241">
        <f>VLOOKUP($B69,'[1]4-Disponibilidade'!$A$8:$C$102,2,FALSE)</f>
        <v>90.158729553222656</v>
      </c>
      <c r="D69" s="242">
        <f>IF(AND(C69=0,E69=0),"n/a",E69/C69*100)</f>
        <v>6300.0000423109032</v>
      </c>
      <c r="E69" s="242">
        <f>VLOOKUP($B69,'[1]4-Disponibilidade'!$A$8:$C$102,3,FALSE)</f>
        <v>5680</v>
      </c>
      <c r="F69" s="243">
        <f>IF(ISNA(VLOOKUP($A69,'[1]3-Produção'!$A$9:$C$103,2,FALSE))=TRUE,"n/a",VLOOKUP($A69,'[1]3-Produção'!$A$9:$C$103,2,FALSE))</f>
        <v>4079.1666666666665</v>
      </c>
      <c r="G69" s="243">
        <f>IF(ISNA(VLOOKUP($A69,'[1]3-Produção'!$A$9:$C$103,3,FALSE))=TRUE,"n/a",VLOOKUP($A69,'[1]3-Produção'!$A$9:$C$103,3,FALSE))</f>
        <v>3835.0583333333338</v>
      </c>
      <c r="H69" s="243">
        <f>IF(OR(F69="n/a",G69="n/a"),"n/a",G69-F69)</f>
        <v>-244.10833333333267</v>
      </c>
      <c r="I69" s="243">
        <f>IF(OR(G69="n/a",D69="n/a"),"n/a",D69-G69)</f>
        <v>2464.9417089775693</v>
      </c>
      <c r="J69" s="244">
        <f>IF(OR(G69="n/a",G69=0,E69="n/a",E69=0),"n/a",E69-G69)</f>
        <v>1844.9416666666662</v>
      </c>
      <c r="K69" s="375" t="str">
        <f t="shared" si="4"/>
        <v/>
      </c>
      <c r="R69" s="5"/>
    </row>
    <row r="70" spans="1:18" ht="13.5" thickBot="1" x14ac:dyDescent="0.25">
      <c r="A70" s="258" t="s">
        <v>263</v>
      </c>
      <c r="B70" s="259"/>
      <c r="C70" s="245">
        <f>SUMPRODUCT(C5:C69,E5:E69)/E70</f>
        <v>85.627458551822272</v>
      </c>
      <c r="D70" s="246">
        <f t="shared" ref="D70:J70" si="17">SUM(D5:D69)</f>
        <v>42323.46009495551</v>
      </c>
      <c r="E70" s="246">
        <f t="shared" si="17"/>
        <v>35336</v>
      </c>
      <c r="F70" s="247">
        <f t="shared" si="17"/>
        <v>25056.412500000002</v>
      </c>
      <c r="G70" s="247">
        <f t="shared" si="17"/>
        <v>25883.1875</v>
      </c>
      <c r="H70" s="247">
        <f t="shared" si="17"/>
        <v>826.77500000000168</v>
      </c>
      <c r="I70" s="247">
        <f t="shared" si="17"/>
        <v>16440.272594955517</v>
      </c>
      <c r="J70" s="248">
        <f t="shared" si="17"/>
        <v>9452.8124999999982</v>
      </c>
      <c r="K70" s="375" t="str">
        <f t="shared" ref="K70:K107" si="18">IF(OR(C70&gt;100,D70="n/a",F70="n/a",G70="n/a",H70="n/a",I70="n/a",J70="n/a"),"X","")</f>
        <v/>
      </c>
      <c r="R70" s="5"/>
    </row>
    <row r="71" spans="1:18" ht="13.5" thickBot="1" x14ac:dyDescent="0.25">
      <c r="A71" s="84"/>
      <c r="B71" s="84"/>
      <c r="C71" s="56"/>
      <c r="D71" s="85"/>
      <c r="E71" s="85"/>
      <c r="F71" s="86"/>
      <c r="G71" s="86"/>
      <c r="H71" s="86"/>
      <c r="I71" s="86"/>
      <c r="J71" s="86"/>
      <c r="K71" s="375" t="str">
        <f t="shared" si="18"/>
        <v/>
      </c>
      <c r="R71" s="5"/>
    </row>
    <row r="72" spans="1:18" x14ac:dyDescent="0.2">
      <c r="A72" s="278" t="s">
        <v>103</v>
      </c>
      <c r="B72" s="279" t="s">
        <v>103</v>
      </c>
      <c r="C72" s="263">
        <f>VLOOKUP($B72,'[1]4-Disponibilidade'!$A$8:$C$102,2,FALSE)</f>
        <v>106.58307647705078</v>
      </c>
      <c r="D72" s="264">
        <f t="shared" si="2"/>
        <v>31.899998690055455</v>
      </c>
      <c r="E72" s="264">
        <f>VLOOKUP($B72,'[1]4-Disponibilidade'!$A$8:$C$102,3,FALSE)</f>
        <v>34</v>
      </c>
      <c r="F72" s="265">
        <f>IF(ISNA(VLOOKUP($A72,'[1]4-Disponibilidade'!$A$8:$C$102,2,FALSE))=TRUE,"n/a",VLOOKUP($A72,'[1]4-Disponibilidade'!$A$8:$C$102,2,FALSE))</f>
        <v>106.58307647705078</v>
      </c>
      <c r="G72" s="265">
        <f>IF(ISNA(VLOOKUP($A72,'[1]3-Produção'!$A$9:$C$103,3,FALSE))=TRUE,"n/a",VLOOKUP($A72,'[1]3-Produção'!$A$9:$C$103,3,FALSE))</f>
        <v>33.85</v>
      </c>
      <c r="H72" s="265">
        <f t="shared" si="3"/>
        <v>-72.733076477050787</v>
      </c>
      <c r="I72" s="265">
        <f t="shared" si="15"/>
        <v>-1.9500013099445468</v>
      </c>
      <c r="J72" s="266">
        <f t="shared" si="16"/>
        <v>0.14999999999999858</v>
      </c>
      <c r="K72" s="375" t="str">
        <f t="shared" si="18"/>
        <v>X</v>
      </c>
      <c r="L72" s="4"/>
      <c r="M72" s="4"/>
      <c r="N72" s="3"/>
      <c r="O72" s="3"/>
      <c r="P72" s="3"/>
      <c r="R72" s="5"/>
    </row>
    <row r="73" spans="1:18" x14ac:dyDescent="0.2">
      <c r="A73" s="280" t="s">
        <v>104</v>
      </c>
      <c r="B73" s="279" t="s">
        <v>104</v>
      </c>
      <c r="C73" s="267">
        <f>VLOOKUP($B73,'[1]4-Disponibilidade'!$A$8:$C$102,2,FALSE)</f>
        <v>79.545455932617188</v>
      </c>
      <c r="D73" s="260">
        <f t="shared" si="2"/>
        <v>44.000001342773473</v>
      </c>
      <c r="E73" s="260">
        <f>VLOOKUP($B73,'[1]4-Disponibilidade'!$A$8:$C$102,3,FALSE)</f>
        <v>35</v>
      </c>
      <c r="F73" s="261">
        <f>IF(ISNA(VLOOKUP($A73,'[1]4-Disponibilidade'!$A$8:$C$102,2,FALSE))=TRUE,"n/a",VLOOKUP($A73,'[1]4-Disponibilidade'!$A$8:$C$102,2,FALSE))</f>
        <v>79.545455932617188</v>
      </c>
      <c r="G73" s="261">
        <f>IF(ISNA(VLOOKUP($A73,'[1]3-Produção'!$A$9:$C$103,3,FALSE))=TRUE,"n/a",VLOOKUP($A73,'[1]3-Produção'!$A$9:$C$103,3,FALSE))</f>
        <v>15.658333333333333</v>
      </c>
      <c r="H73" s="261">
        <f t="shared" si="3"/>
        <v>-63.887122599283856</v>
      </c>
      <c r="I73" s="261">
        <f t="shared" si="15"/>
        <v>28.341668009440141</v>
      </c>
      <c r="J73" s="268">
        <f t="shared" si="16"/>
        <v>19.341666666666669</v>
      </c>
      <c r="K73" s="375" t="str">
        <f t="shared" si="18"/>
        <v/>
      </c>
      <c r="L73" s="4"/>
      <c r="M73" s="4"/>
      <c r="N73" s="3"/>
      <c r="O73" s="3"/>
      <c r="P73" s="3"/>
      <c r="R73" s="5"/>
    </row>
    <row r="74" spans="1:18" x14ac:dyDescent="0.2">
      <c r="A74" s="280" t="s">
        <v>105</v>
      </c>
      <c r="B74" s="279" t="s">
        <v>105</v>
      </c>
      <c r="C74" s="267">
        <f>VLOOKUP($B74,'[1]4-Disponibilidade'!$A$8:$C$102,2,FALSE)</f>
        <v>100</v>
      </c>
      <c r="D74" s="260">
        <f t="shared" ref="D74:D104" si="19">IF(AND(C74=0,E74=0),"n/a",E74/C74*100)</f>
        <v>500</v>
      </c>
      <c r="E74" s="260">
        <f>VLOOKUP($B74,'[1]4-Disponibilidade'!$A$8:$C$102,3,FALSE)</f>
        <v>500</v>
      </c>
      <c r="F74" s="261">
        <f>IF(ISNA(VLOOKUP($A74,'[1]4-Disponibilidade'!$A$8:$C$102,2,FALSE))=TRUE,"n/a",VLOOKUP($A74,'[1]4-Disponibilidade'!$A$8:$C$102,2,FALSE))</f>
        <v>100</v>
      </c>
      <c r="G74" s="261">
        <f>IF(ISNA(VLOOKUP($A74,'[1]3-Produção'!$A$9:$C$103,3,FALSE))=TRUE,"n/a",VLOOKUP($A74,'[1]3-Produção'!$A$9:$C$103,3,FALSE))</f>
        <v>402.08749999999998</v>
      </c>
      <c r="H74" s="261">
        <f t="shared" ref="H74:H104" si="20">IF(OR(F74="n/a",G74="n/a"),"n/a",G74-F74)</f>
        <v>302.08749999999998</v>
      </c>
      <c r="I74" s="261">
        <f t="shared" si="15"/>
        <v>97.912500000000023</v>
      </c>
      <c r="J74" s="268">
        <f t="shared" si="16"/>
        <v>97.912500000000023</v>
      </c>
      <c r="K74" s="375" t="str">
        <f t="shared" si="18"/>
        <v/>
      </c>
      <c r="L74" s="4"/>
      <c r="M74" s="4"/>
      <c r="N74" s="3"/>
      <c r="O74" s="3"/>
      <c r="P74" s="3"/>
      <c r="R74" s="5"/>
    </row>
    <row r="75" spans="1:18" x14ac:dyDescent="0.2">
      <c r="A75" s="281" t="s">
        <v>106</v>
      </c>
      <c r="B75" s="282" t="s">
        <v>106</v>
      </c>
      <c r="C75" s="267">
        <f>VLOOKUP($B75,'[1]4-Disponibilidade'!$A$8:$C$102,2,FALSE)</f>
        <v>100</v>
      </c>
      <c r="D75" s="260">
        <f t="shared" si="19"/>
        <v>180</v>
      </c>
      <c r="E75" s="260">
        <f>VLOOKUP($B75,'[1]4-Disponibilidade'!$A$8:$C$102,3,FALSE)</f>
        <v>180</v>
      </c>
      <c r="F75" s="261">
        <f>IF(ISNA(VLOOKUP($A75,'[1]4-Disponibilidade'!$A$8:$C$102,2,FALSE))=TRUE,"n/a",VLOOKUP($A75,'[1]4-Disponibilidade'!$A$8:$C$102,2,FALSE))</f>
        <v>100</v>
      </c>
      <c r="G75" s="261">
        <f>IF(ISNA(VLOOKUP($A75,'[1]3-Produção'!$A$9:$C$103,3,FALSE))=TRUE,"n/a",VLOOKUP($A75,'[1]3-Produção'!$A$9:$C$103,3,FALSE))</f>
        <v>175.54166666666666</v>
      </c>
      <c r="H75" s="261">
        <f t="shared" si="20"/>
        <v>75.541666666666657</v>
      </c>
      <c r="I75" s="261">
        <f t="shared" si="15"/>
        <v>4.4583333333333428</v>
      </c>
      <c r="J75" s="268">
        <f t="shared" si="16"/>
        <v>4.4583333333333428</v>
      </c>
      <c r="K75" s="375" t="str">
        <f t="shared" si="18"/>
        <v/>
      </c>
      <c r="L75" s="4"/>
      <c r="M75" s="4"/>
      <c r="N75" s="3"/>
      <c r="O75" s="3"/>
      <c r="P75" s="3"/>
      <c r="R75" s="5"/>
    </row>
    <row r="76" spans="1:18" x14ac:dyDescent="0.2">
      <c r="A76" s="280" t="s">
        <v>107</v>
      </c>
      <c r="B76" s="279" t="s">
        <v>107</v>
      </c>
      <c r="C76" s="267">
        <f>VLOOKUP($B76,'[1]4-Disponibilidade'!$A$8:$C$102,2,FALSE)</f>
        <v>100</v>
      </c>
      <c r="D76" s="260">
        <f t="shared" si="19"/>
        <v>155</v>
      </c>
      <c r="E76" s="260">
        <f>VLOOKUP($B76,'[1]4-Disponibilidade'!$A$8:$C$102,3,FALSE)</f>
        <v>155</v>
      </c>
      <c r="F76" s="261">
        <f>IF(ISNA(VLOOKUP($A76,'[1]4-Disponibilidade'!$A$8:$C$102,2,FALSE))=TRUE,"n/a",VLOOKUP($A76,'[1]4-Disponibilidade'!$A$8:$C$102,2,FALSE))</f>
        <v>100</v>
      </c>
      <c r="G76" s="261">
        <f>IF(ISNA(VLOOKUP($A76,'[1]3-Produção'!$A$9:$C$103,3,FALSE))=TRUE,"n/a",VLOOKUP($A76,'[1]3-Produção'!$A$9:$C$103,3,FALSE))</f>
        <v>151.39166666666668</v>
      </c>
      <c r="H76" s="261">
        <f t="shared" si="20"/>
        <v>51.39166666666668</v>
      </c>
      <c r="I76" s="261">
        <f t="shared" si="15"/>
        <v>3.6083333333333201</v>
      </c>
      <c r="J76" s="268">
        <f t="shared" si="16"/>
        <v>3.6083333333333201</v>
      </c>
      <c r="K76" s="375" t="str">
        <f t="shared" si="18"/>
        <v/>
      </c>
      <c r="L76" s="4"/>
      <c r="M76" s="4"/>
      <c r="N76" s="3"/>
      <c r="O76" s="3"/>
      <c r="P76" s="3"/>
      <c r="R76" s="5"/>
    </row>
    <row r="77" spans="1:18" x14ac:dyDescent="0.2">
      <c r="A77" s="280" t="s">
        <v>108</v>
      </c>
      <c r="B77" s="279" t="s">
        <v>108</v>
      </c>
      <c r="C77" s="267">
        <f>VLOOKUP($B77,'[1]4-Disponibilidade'!$A$8:$C$102,2,FALSE)</f>
        <v>99.820999145507813</v>
      </c>
      <c r="D77" s="260">
        <f t="shared" si="19"/>
        <v>1676.0000544186989</v>
      </c>
      <c r="E77" s="260">
        <f>VLOOKUP($B77,'[1]4-Disponibilidade'!$A$8:$C$102,3,FALSE)</f>
        <v>1673</v>
      </c>
      <c r="F77" s="261">
        <f>IF(ISNA(VLOOKUP($A77,'[1]4-Disponibilidade'!$A$8:$C$102,2,FALSE))=TRUE,"n/a",VLOOKUP($A77,'[1]4-Disponibilidade'!$A$8:$C$102,2,FALSE))</f>
        <v>99.820999145507813</v>
      </c>
      <c r="G77" s="261">
        <f>IF(ISNA(VLOOKUP($A77,'[1]3-Produção'!$A$9:$C$103,3,FALSE))=TRUE,"n/a",VLOOKUP($A77,'[1]3-Produção'!$A$9:$C$103,3,FALSE))</f>
        <v>1202.0083333333337</v>
      </c>
      <c r="H77" s="261">
        <f t="shared" si="20"/>
        <v>1102.1873341878259</v>
      </c>
      <c r="I77" s="261">
        <f t="shared" si="15"/>
        <v>473.99172108536527</v>
      </c>
      <c r="J77" s="268">
        <f t="shared" si="16"/>
        <v>470.99166666666633</v>
      </c>
      <c r="K77" s="375" t="str">
        <f t="shared" si="18"/>
        <v/>
      </c>
      <c r="L77" s="4"/>
      <c r="M77" s="4"/>
      <c r="N77" s="3"/>
      <c r="O77" s="3"/>
      <c r="P77" s="3"/>
      <c r="R77" s="5"/>
    </row>
    <row r="78" spans="1:18" x14ac:dyDescent="0.2">
      <c r="A78" s="281" t="s">
        <v>109</v>
      </c>
      <c r="B78" s="282" t="s">
        <v>109</v>
      </c>
      <c r="C78" s="267">
        <f>VLOOKUP($B78,'[1]4-Disponibilidade'!$A$8:$C$102,2,FALSE)</f>
        <v>100</v>
      </c>
      <c r="D78" s="260">
        <f t="shared" si="19"/>
        <v>260</v>
      </c>
      <c r="E78" s="260">
        <f>VLOOKUP($B78,'[1]4-Disponibilidade'!$A$8:$C$102,3,FALSE)</f>
        <v>260</v>
      </c>
      <c r="F78" s="261">
        <f>IF(ISNA(VLOOKUP($A78,'[1]4-Disponibilidade'!$A$8:$C$102,2,FALSE))=TRUE,"n/a",VLOOKUP($A78,'[1]4-Disponibilidade'!$A$8:$C$102,2,FALSE))</f>
        <v>100</v>
      </c>
      <c r="G78" s="261">
        <f>IF(ISNA(VLOOKUP($A78,'[1]3-Produção'!$A$9:$C$103,3,FALSE))=TRUE,"n/a",VLOOKUP($A78,'[1]3-Produção'!$A$9:$C$103,3,FALSE))</f>
        <v>165.22083333333333</v>
      </c>
      <c r="H78" s="261">
        <f t="shared" si="20"/>
        <v>65.220833333333331</v>
      </c>
      <c r="I78" s="261">
        <f t="shared" si="15"/>
        <v>94.779166666666669</v>
      </c>
      <c r="J78" s="268">
        <f t="shared" si="16"/>
        <v>94.779166666666669</v>
      </c>
      <c r="K78" s="375" t="str">
        <f t="shared" si="18"/>
        <v/>
      </c>
      <c r="L78" s="4"/>
      <c r="M78" s="4"/>
      <c r="N78" s="3"/>
      <c r="O78" s="3"/>
      <c r="P78" s="3"/>
      <c r="R78" s="5"/>
    </row>
    <row r="79" spans="1:18" x14ac:dyDescent="0.2">
      <c r="A79" s="280" t="s">
        <v>217</v>
      </c>
      <c r="B79" s="282" t="s">
        <v>217</v>
      </c>
      <c r="C79" s="269">
        <f>VLOOKUP($B79,'[1]4-Disponibilidade'!$A$8:$C$102,2,FALSE)</f>
        <v>0</v>
      </c>
      <c r="D79" s="262" t="str">
        <f>IF(OR(C79=0,E79=0),"n/a",E79/C79*100)</f>
        <v>n/a</v>
      </c>
      <c r="E79" s="260">
        <f>VLOOKUP($B79,'[1]4-Disponibilidade'!$A$8:$C$102,3,FALSE)</f>
        <v>101</v>
      </c>
      <c r="F79" s="261">
        <f>IF(ISNA(VLOOKUP($B79,'[1]4-Disponibilidade'!$A$8:$C$102,2,FALSE))=TRUE,"n/a",VLOOKUP($B79,'[1]4-Disponibilidade'!$A$8:$C$102,2,FALSE))</f>
        <v>0</v>
      </c>
      <c r="G79" s="261">
        <f>IF(ISNA(VLOOKUP($A79,'[1]3-Produção'!$A$9:$C$103,3,FALSE))=TRUE,"n/a",VLOOKUP($A79,'[1]3-Produção'!$A$9:$C$103,3,FALSE))</f>
        <v>55.741666666666667</v>
      </c>
      <c r="H79" s="261">
        <f t="shared" si="20"/>
        <v>55.741666666666667</v>
      </c>
      <c r="I79" s="261" t="str">
        <f t="shared" si="15"/>
        <v>n/a</v>
      </c>
      <c r="J79" s="268">
        <f t="shared" si="16"/>
        <v>45.258333333333333</v>
      </c>
      <c r="K79" s="375" t="str">
        <f t="shared" si="18"/>
        <v>X</v>
      </c>
      <c r="L79" s="4"/>
      <c r="M79" s="4"/>
      <c r="N79" s="3"/>
      <c r="O79" s="3"/>
      <c r="P79" s="3"/>
      <c r="R79" s="5"/>
    </row>
    <row r="80" spans="1:18" x14ac:dyDescent="0.2">
      <c r="A80" s="280" t="s">
        <v>110</v>
      </c>
      <c r="B80" s="279" t="s">
        <v>110</v>
      </c>
      <c r="C80" s="267">
        <f>VLOOKUP($B80,'[1]4-Disponibilidade'!$A$8:$C$102,2,FALSE)</f>
        <v>100</v>
      </c>
      <c r="D80" s="260">
        <f t="shared" si="19"/>
        <v>1240</v>
      </c>
      <c r="E80" s="260">
        <f>VLOOKUP($B80,'[1]4-Disponibilidade'!$A$8:$C$102,3,FALSE)</f>
        <v>1240</v>
      </c>
      <c r="F80" s="261">
        <f>IF(ISNA(VLOOKUP($A80,'[1]4-Disponibilidade'!$A$8:$C$102,2,FALSE))=TRUE,"n/a",VLOOKUP($A80,'[1]4-Disponibilidade'!$A$8:$C$102,2,FALSE))</f>
        <v>100</v>
      </c>
      <c r="G80" s="261">
        <f>IF(ISNA(VLOOKUP($A80,'[1]3-Produção'!$A$9:$C$103,3,FALSE))=TRUE,"n/a",VLOOKUP($A80,'[1]3-Produção'!$A$9:$C$103,3,FALSE))</f>
        <v>1058.0333333333335</v>
      </c>
      <c r="H80" s="261">
        <f t="shared" si="20"/>
        <v>958.03333333333353</v>
      </c>
      <c r="I80" s="261">
        <f t="shared" si="15"/>
        <v>181.96666666666647</v>
      </c>
      <c r="J80" s="268">
        <f t="shared" si="16"/>
        <v>181.96666666666647</v>
      </c>
      <c r="K80" s="375" t="str">
        <f t="shared" si="18"/>
        <v/>
      </c>
      <c r="L80" s="4"/>
      <c r="M80" s="4"/>
      <c r="N80" s="3"/>
      <c r="O80" s="3"/>
      <c r="P80" s="3"/>
      <c r="R80" s="5"/>
    </row>
    <row r="81" spans="1:18" x14ac:dyDescent="0.2">
      <c r="A81" s="280" t="s">
        <v>111</v>
      </c>
      <c r="B81" s="279" t="s">
        <v>111</v>
      </c>
      <c r="C81" s="267">
        <f>VLOOKUP($B81,'[1]4-Disponibilidade'!$A$8:$C$102,2,FALSE)</f>
        <v>87.698410034179688</v>
      </c>
      <c r="D81" s="260">
        <f t="shared" si="19"/>
        <v>1260.0000382781579</v>
      </c>
      <c r="E81" s="260">
        <f>VLOOKUP($B81,'[1]4-Disponibilidade'!$A$8:$C$102,3,FALSE)</f>
        <v>1105</v>
      </c>
      <c r="F81" s="261">
        <f>IF(ISNA(VLOOKUP($A81,'[1]4-Disponibilidade'!$A$8:$C$102,2,FALSE))=TRUE,"n/a",VLOOKUP($A81,'[1]4-Disponibilidade'!$A$8:$C$102,2,FALSE))</f>
        <v>87.698410034179688</v>
      </c>
      <c r="G81" s="261">
        <f>IF(ISNA(VLOOKUP($A81,'[1]3-Produção'!$A$9:$C$103,3,FALSE))=TRUE,"n/a",VLOOKUP($A81,'[1]3-Produção'!$A$9:$C$103,3,FALSE))</f>
        <v>928.22500000000002</v>
      </c>
      <c r="H81" s="261">
        <f t="shared" si="20"/>
        <v>840.52658996582034</v>
      </c>
      <c r="I81" s="261">
        <f t="shared" si="15"/>
        <v>331.77503827815792</v>
      </c>
      <c r="J81" s="268">
        <f t="shared" si="16"/>
        <v>176.77499999999998</v>
      </c>
      <c r="K81" s="375" t="str">
        <f t="shared" si="18"/>
        <v/>
      </c>
      <c r="L81" s="4"/>
      <c r="M81" s="4"/>
      <c r="N81" s="3"/>
      <c r="O81" s="3"/>
      <c r="P81" s="3"/>
      <c r="R81" s="5"/>
    </row>
    <row r="82" spans="1:18" x14ac:dyDescent="0.2">
      <c r="A82" s="280" t="s">
        <v>240</v>
      </c>
      <c r="B82" s="283" t="s">
        <v>240</v>
      </c>
      <c r="C82" s="269">
        <f>VLOOKUP($B82,'[1]4-Disponibilidade'!$A$8:$C$102,2,FALSE)</f>
        <v>101.37931060791016</v>
      </c>
      <c r="D82" s="262">
        <f>IF(OR(C82=0,E82=0),"n/a",E82/C82*100)</f>
        <v>1159.9999969897628</v>
      </c>
      <c r="E82" s="260">
        <f>VLOOKUP($B82,'[1]4-Disponibilidade'!$A$8:$C$102,3,FALSE)</f>
        <v>1176</v>
      </c>
      <c r="F82" s="261">
        <f>IF(ISNA(VLOOKUP($A82,'[1]4-Disponibilidade'!$A$8:$C$102,2,FALSE))=TRUE,"n/a",VLOOKUP($A82,'[1]4-Disponibilidade'!$A$8:$C$102,2,FALSE))</f>
        <v>101.37931060791016</v>
      </c>
      <c r="G82" s="261">
        <f>IF(ISNA(VLOOKUP($A82,'[1]3-Produção'!$A$9:$C$103,3,FALSE))=TRUE,"n/a",VLOOKUP($A82,'[1]3-Produção'!$A$9:$C$103,3,FALSE))</f>
        <v>1155.2</v>
      </c>
      <c r="H82" s="261">
        <f t="shared" si="20"/>
        <v>1053.8206893920899</v>
      </c>
      <c r="I82" s="261">
        <f t="shared" si="15"/>
        <v>4.7999969897628034</v>
      </c>
      <c r="J82" s="268">
        <f t="shared" si="16"/>
        <v>20.799999999999955</v>
      </c>
      <c r="K82" s="375" t="str">
        <f t="shared" si="18"/>
        <v>X</v>
      </c>
      <c r="R82" s="5"/>
    </row>
    <row r="83" spans="1:18" x14ac:dyDescent="0.2">
      <c r="A83" s="280" t="s">
        <v>112</v>
      </c>
      <c r="B83" s="279" t="s">
        <v>112</v>
      </c>
      <c r="C83" s="267">
        <f>VLOOKUP($B83,'[1]4-Disponibilidade'!$A$8:$C$102,2,FALSE)</f>
        <v>100</v>
      </c>
      <c r="D83" s="260">
        <f t="shared" si="19"/>
        <v>225.99999999999997</v>
      </c>
      <c r="E83" s="260">
        <f>VLOOKUP($B83,'[1]4-Disponibilidade'!$A$8:$C$102,3,FALSE)</f>
        <v>226</v>
      </c>
      <c r="F83" s="261">
        <f>IF(ISNA(VLOOKUP($A83,'[1]4-Disponibilidade'!$A$8:$C$102,2,FALSE))=TRUE,"n/a",VLOOKUP($A83,'[1]4-Disponibilidade'!$A$8:$C$102,2,FALSE))</f>
        <v>100</v>
      </c>
      <c r="G83" s="261">
        <f>IF(ISNA(VLOOKUP($A83,'[1]3-Produção'!$A$9:$C$103,3,FALSE))=TRUE,"n/a",VLOOKUP($A83,'[1]3-Produção'!$A$9:$C$103,3,FALSE))</f>
        <v>101.59166666666668</v>
      </c>
      <c r="H83" s="261">
        <f t="shared" si="20"/>
        <v>1.5916666666666828</v>
      </c>
      <c r="I83" s="261">
        <f t="shared" si="15"/>
        <v>124.40833333333329</v>
      </c>
      <c r="J83" s="268">
        <f t="shared" si="16"/>
        <v>124.40833333333332</v>
      </c>
      <c r="K83" s="375" t="str">
        <f t="shared" si="18"/>
        <v/>
      </c>
      <c r="R83" s="5"/>
    </row>
    <row r="84" spans="1:18" x14ac:dyDescent="0.2">
      <c r="A84" s="280" t="s">
        <v>113</v>
      </c>
      <c r="B84" s="283" t="s">
        <v>201</v>
      </c>
      <c r="C84" s="267">
        <f>VLOOKUP($B84,'[1]4-Disponibilidade'!$A$8:$C$102,2,FALSE)</f>
        <v>76.058929443359375</v>
      </c>
      <c r="D84" s="260">
        <f t="shared" si="19"/>
        <v>1086.0000345062933</v>
      </c>
      <c r="E84" s="260">
        <f>VLOOKUP($B84,'[1]4-Disponibilidade'!$A$8:$C$102,3,FALSE)</f>
        <v>826</v>
      </c>
      <c r="F84" s="261">
        <f>IF(ISNA(VLOOKUP($B84,'[1]4-Disponibilidade'!$A$8:$C$102,2,FALSE))=TRUE,"n/a",VLOOKUP($B84,'[1]4-Disponibilidade'!$A$8:$C$102,2,FALSE))</f>
        <v>76.058929443359375</v>
      </c>
      <c r="G84" s="261">
        <f>IF(ISNA(VLOOKUP($A84,'[1]3-Produção'!$A$9:$C$103,3,FALSE))=TRUE,"n/a",VLOOKUP($A84,'[1]3-Produção'!$A$9:$C$103,3,FALSE))</f>
        <v>665.15833333333342</v>
      </c>
      <c r="H84" s="261">
        <f t="shared" si="20"/>
        <v>589.09940388997404</v>
      </c>
      <c r="I84" s="261">
        <f t="shared" si="15"/>
        <v>420.84170117295992</v>
      </c>
      <c r="J84" s="268">
        <f t="shared" si="16"/>
        <v>160.84166666666658</v>
      </c>
      <c r="K84" s="375" t="str">
        <f t="shared" si="18"/>
        <v/>
      </c>
      <c r="R84" s="5"/>
    </row>
    <row r="85" spans="1:18" x14ac:dyDescent="0.2">
      <c r="A85" s="280" t="s">
        <v>114</v>
      </c>
      <c r="B85" s="279" t="s">
        <v>114</v>
      </c>
      <c r="C85" s="267">
        <f>VLOOKUP($B85,'[1]4-Disponibilidade'!$A$8:$C$102,2,FALSE)</f>
        <v>100</v>
      </c>
      <c r="D85" s="260">
        <f t="shared" si="19"/>
        <v>1420</v>
      </c>
      <c r="E85" s="260">
        <f>VLOOKUP($B85,'[1]4-Disponibilidade'!$A$8:$C$102,3,FALSE)</f>
        <v>1420</v>
      </c>
      <c r="F85" s="261">
        <f>IF(ISNA(VLOOKUP($A85,'[1]4-Disponibilidade'!$A$8:$C$102,2,FALSE))=TRUE,"n/a",VLOOKUP($A85,'[1]4-Disponibilidade'!$A$8:$C$102,2,FALSE))</f>
        <v>100</v>
      </c>
      <c r="G85" s="261">
        <f>IF(ISNA(VLOOKUP($A85,'[1]3-Produção'!$A$9:$C$103,3,FALSE))=TRUE,"n/a",VLOOKUP($A85,'[1]3-Produção'!$A$9:$C$103,3,FALSE))</f>
        <v>967.54166666666652</v>
      </c>
      <c r="H85" s="261">
        <f t="shared" si="20"/>
        <v>867.54166666666652</v>
      </c>
      <c r="I85" s="261">
        <f t="shared" si="15"/>
        <v>452.45833333333348</v>
      </c>
      <c r="J85" s="268">
        <f t="shared" si="16"/>
        <v>452.45833333333348</v>
      </c>
      <c r="K85" s="375" t="str">
        <f t="shared" si="18"/>
        <v/>
      </c>
    </row>
    <row r="86" spans="1:18" x14ac:dyDescent="0.2">
      <c r="A86" s="280" t="s">
        <v>115</v>
      </c>
      <c r="B86" s="283" t="s">
        <v>199</v>
      </c>
      <c r="C86" s="267">
        <f>VLOOKUP($B86,'[1]4-Disponibilidade'!$A$8:$C$102,2,FALSE)</f>
        <v>90.062110900878906</v>
      </c>
      <c r="D86" s="262">
        <f t="shared" si="19"/>
        <v>32.200000321907837</v>
      </c>
      <c r="E86" s="260">
        <f>VLOOKUP($B86,'[1]4-Disponibilidade'!$A$8:$C$102,3,FALSE)</f>
        <v>29</v>
      </c>
      <c r="F86" s="261">
        <f>IF(ISNA(VLOOKUP($B86,'[1]4-Disponibilidade'!$A$8:$C$102,2,FALSE))=TRUE,"n/a",VLOOKUP($B86,'[1]4-Disponibilidade'!$A$8:$C$102,2,FALSE))</f>
        <v>90.062110900878906</v>
      </c>
      <c r="G86" s="261">
        <f>IF(ISNA(VLOOKUP($A86,'[1]3-Produção'!$A$9:$C$103,3,FALSE))=TRUE,"n/a",VLOOKUP($A86,'[1]3-Produção'!$A$9:$C$103,3,FALSE))</f>
        <v>31.4</v>
      </c>
      <c r="H86" s="261">
        <f t="shared" si="20"/>
        <v>-58.662110900878908</v>
      </c>
      <c r="I86" s="261">
        <f t="shared" si="15"/>
        <v>0.80000032190783799</v>
      </c>
      <c r="J86" s="268">
        <f t="shared" si="16"/>
        <v>-2.3999999999999986</v>
      </c>
      <c r="K86" s="375" t="str">
        <f t="shared" si="18"/>
        <v/>
      </c>
    </row>
    <row r="87" spans="1:18" ht="13.5" thickBot="1" x14ac:dyDescent="0.25">
      <c r="A87" s="284" t="s">
        <v>194</v>
      </c>
      <c r="B87" s="285" t="s">
        <v>194</v>
      </c>
      <c r="C87" s="270">
        <f>VLOOKUP($B87,'[1]4-Disponibilidade'!$A$8:$C$102,2,FALSE)</f>
        <v>67.686470031738281</v>
      </c>
      <c r="D87" s="271">
        <f t="shared" si="19"/>
        <v>73.870006777654268</v>
      </c>
      <c r="E87" s="271">
        <f>VLOOKUP($B87,'[1]4-Disponibilidade'!$A$8:$C$102,3,FALSE)</f>
        <v>50</v>
      </c>
      <c r="F87" s="272">
        <f>IF(ISNA(VLOOKUP($A87,'[1]4-Disponibilidade'!$A$8:$C$102,2,FALSE))=TRUE,"n/a",VLOOKUP($A87,'[1]4-Disponibilidade'!$A$8:$C$102,2,FALSE))</f>
        <v>67.686470031738281</v>
      </c>
      <c r="G87" s="272">
        <f>IF(ISNA(VLOOKUP($A87,'[1]3-Produção'!$A$9:$C$103,3,FALSE))=TRUE,"n/a",VLOOKUP($A87,'[1]3-Produção'!$A$9:$C$103,3,FALSE))</f>
        <v>45.654166666666669</v>
      </c>
      <c r="H87" s="272">
        <f t="shared" si="20"/>
        <v>-22.032303365071613</v>
      </c>
      <c r="I87" s="272">
        <f t="shared" si="15"/>
        <v>28.2158401109876</v>
      </c>
      <c r="J87" s="273">
        <f t="shared" si="16"/>
        <v>4.3458333333333314</v>
      </c>
      <c r="K87" s="375" t="str">
        <f t="shared" si="18"/>
        <v/>
      </c>
    </row>
    <row r="88" spans="1:18" ht="13.5" thickBot="1" x14ac:dyDescent="0.25">
      <c r="A88" s="286" t="s">
        <v>263</v>
      </c>
      <c r="B88" s="287"/>
      <c r="C88" s="274">
        <f>SUMPRODUCT(C72:C87,E72:E87)/E88</f>
        <v>95.056388449377806</v>
      </c>
      <c r="D88" s="275">
        <f>SUM(D72:D87)</f>
        <v>9344.9701313253026</v>
      </c>
      <c r="E88" s="275">
        <f t="shared" ref="E88:J88" si="21">SUM(E72:E87)</f>
        <v>9010</v>
      </c>
      <c r="F88" s="276">
        <f t="shared" si="21"/>
        <v>1408.8347625732422</v>
      </c>
      <c r="G88" s="276">
        <f t="shared" si="21"/>
        <v>7154.3041666666659</v>
      </c>
      <c r="H88" s="276">
        <f t="shared" si="21"/>
        <v>5745.4694040934237</v>
      </c>
      <c r="I88" s="276">
        <f t="shared" si="21"/>
        <v>2246.4076313253036</v>
      </c>
      <c r="J88" s="277">
        <f t="shared" si="21"/>
        <v>1855.6958333333328</v>
      </c>
      <c r="K88" s="375" t="str">
        <f t="shared" si="18"/>
        <v/>
      </c>
    </row>
    <row r="89" spans="1:18" ht="13.5" thickBot="1" x14ac:dyDescent="0.25">
      <c r="A89" s="87"/>
      <c r="B89" s="87"/>
      <c r="C89" s="56"/>
      <c r="D89" s="85"/>
      <c r="E89" s="85"/>
      <c r="F89" s="86"/>
      <c r="G89" s="86"/>
      <c r="H89" s="86"/>
      <c r="I89" s="86"/>
      <c r="J89" s="86"/>
      <c r="K89" s="375" t="str">
        <f t="shared" si="18"/>
        <v/>
      </c>
    </row>
    <row r="90" spans="1:18" x14ac:dyDescent="0.2">
      <c r="A90" s="293" t="s">
        <v>118</v>
      </c>
      <c r="B90" s="279" t="s">
        <v>118</v>
      </c>
      <c r="C90" s="295">
        <f>VLOOKUP($B90,'[1]4-Disponibilidade'!$A$8:$C$102,2,FALSE)</f>
        <v>69.565216064453125</v>
      </c>
      <c r="D90" s="296">
        <f t="shared" ref="D90:D99" si="22">IF(AND(C90=0,E90=0),"n/a",E90/C90*100)</f>
        <v>57.500001096725484</v>
      </c>
      <c r="E90" s="296">
        <f>VLOOKUP($B90,'[1]4-Disponibilidade'!$A$8:$C$102,3,FALSE)</f>
        <v>40</v>
      </c>
      <c r="F90" s="297">
        <f>IF(ISNA(VLOOKUP($A90,'[1]3-Produção'!$A$9:$C$103,2,FALSE))=TRUE,"n/a",VLOOKUP($A90,'[1]3-Produção'!$A$9:$C$103,2,FALSE))</f>
        <v>41</v>
      </c>
      <c r="G90" s="297">
        <f>IF(ISNA(VLOOKUP($A90,'[1]3-Produção'!$A$9:$C$103,3,FALSE))=TRUE,"n/a",VLOOKUP($A90,'[1]3-Produção'!$A$9:$C$103,3,FALSE))</f>
        <v>33.220833333333339</v>
      </c>
      <c r="H90" s="297">
        <f t="shared" ref="H90:H99" si="23">IF(OR(F90="n/a",G90="n/a"),"n/a",G90-F90)</f>
        <v>-7.7791666666666615</v>
      </c>
      <c r="I90" s="297">
        <f t="shared" ref="I90:I99" si="24">IF(OR(G90="n/a",D90="n/a"),"n/a",D90-G90)</f>
        <v>24.279167763392145</v>
      </c>
      <c r="J90" s="298">
        <f t="shared" ref="J90:J99" si="25">IF(OR(G90="n/a",G90=0,E90="n/a",E90=0),"n/a",E90-G90)</f>
        <v>6.7791666666666615</v>
      </c>
      <c r="K90" s="375" t="str">
        <f t="shared" si="18"/>
        <v/>
      </c>
    </row>
    <row r="91" spans="1:18" x14ac:dyDescent="0.2">
      <c r="A91" s="294" t="s">
        <v>119</v>
      </c>
      <c r="B91" s="283" t="s">
        <v>191</v>
      </c>
      <c r="C91" s="299">
        <f>VLOOKUP($B91,'[1]4-Disponibilidade'!$A$8:$C$102,2,FALSE)</f>
        <v>75</v>
      </c>
      <c r="D91" s="288">
        <f t="shared" si="22"/>
        <v>400</v>
      </c>
      <c r="E91" s="288">
        <f>VLOOKUP($B91,'[1]4-Disponibilidade'!$A$8:$C$102,3,FALSE)</f>
        <v>300</v>
      </c>
      <c r="F91" s="289">
        <f>IF(ISNA(VLOOKUP($A91,'[1]3-Produção'!$A$9:$C$103,2,FALSE))=TRUE,"n/a",VLOOKUP($A91,'[1]3-Produção'!$A$9:$C$103,2,FALSE))</f>
        <v>161.33333333333334</v>
      </c>
      <c r="G91" s="289">
        <f>IF(ISNA(VLOOKUP($A91,'[1]3-Produção'!$A$9:$C$103,3,FALSE))=TRUE,"n/a",VLOOKUP($A91,'[1]3-Produção'!$A$9:$C$103,3,FALSE))</f>
        <v>165.62916666666663</v>
      </c>
      <c r="H91" s="289">
        <f t="shared" si="23"/>
        <v>4.2958333333332916</v>
      </c>
      <c r="I91" s="289">
        <f t="shared" si="24"/>
        <v>234.37083333333337</v>
      </c>
      <c r="J91" s="300">
        <f t="shared" si="25"/>
        <v>134.37083333333337</v>
      </c>
      <c r="K91" s="375" t="str">
        <f t="shared" si="18"/>
        <v/>
      </c>
    </row>
    <row r="92" spans="1:18" x14ac:dyDescent="0.2">
      <c r="A92" s="294" t="s">
        <v>120</v>
      </c>
      <c r="B92" s="283" t="s">
        <v>192</v>
      </c>
      <c r="C92" s="299">
        <f>VLOOKUP($B92,'[1]4-Disponibilidade'!$A$8:$C$102,2,FALSE)</f>
        <v>100</v>
      </c>
      <c r="D92" s="288">
        <f t="shared" si="22"/>
        <v>225</v>
      </c>
      <c r="E92" s="288">
        <f>VLOOKUP($B92,'[1]4-Disponibilidade'!$A$8:$C$102,3,FALSE)</f>
        <v>225</v>
      </c>
      <c r="F92" s="289">
        <f>IF(ISNA(VLOOKUP($A92,'[1]3-Produção'!$A$9:$C$103,2,FALSE))=TRUE,"n/a",VLOOKUP($A92,'[1]3-Produção'!$A$9:$C$103,2,FALSE))</f>
        <v>161</v>
      </c>
      <c r="G92" s="289">
        <f>IF(ISNA(VLOOKUP($A92,'[1]3-Produção'!$A$9:$C$103,3,FALSE))=TRUE,"n/a",VLOOKUP($A92,'[1]3-Produção'!$A$9:$C$103,3,FALSE))</f>
        <v>161</v>
      </c>
      <c r="H92" s="289">
        <f t="shared" si="23"/>
        <v>0</v>
      </c>
      <c r="I92" s="289">
        <f t="shared" si="24"/>
        <v>64</v>
      </c>
      <c r="J92" s="300">
        <f t="shared" si="25"/>
        <v>64</v>
      </c>
      <c r="K92" s="375" t="str">
        <f t="shared" si="18"/>
        <v/>
      </c>
    </row>
    <row r="93" spans="1:18" x14ac:dyDescent="0.2">
      <c r="A93" s="294" t="s">
        <v>121</v>
      </c>
      <c r="B93" s="283" t="s">
        <v>193</v>
      </c>
      <c r="C93" s="299">
        <f>VLOOKUP($B93,'[1]4-Disponibilidade'!$A$8:$C$102,2,FALSE)</f>
        <v>79</v>
      </c>
      <c r="D93" s="288">
        <f t="shared" si="22"/>
        <v>1500</v>
      </c>
      <c r="E93" s="288">
        <f>VLOOKUP($B93,'[1]4-Disponibilidade'!$A$8:$C$102,3,FALSE)</f>
        <v>1185</v>
      </c>
      <c r="F93" s="289">
        <f>IF(ISNA(VLOOKUP($A93,'[1]3-Produção'!$A$9:$C$103,2,FALSE))=TRUE,"n/a",VLOOKUP($A93,'[1]3-Produção'!$A$9:$C$103,2,FALSE))</f>
        <v>945.83333333333337</v>
      </c>
      <c r="G93" s="289">
        <f>IF(ISNA(VLOOKUP($A93,'[1]3-Produção'!$A$9:$C$103,3,FALSE))=TRUE,"n/a",VLOOKUP($A93,'[1]3-Produção'!$A$9:$C$103,3,FALSE))</f>
        <v>943.47916666666652</v>
      </c>
      <c r="H93" s="289">
        <f t="shared" si="23"/>
        <v>-2.3541666666668561</v>
      </c>
      <c r="I93" s="289">
        <f t="shared" si="24"/>
        <v>556.52083333333348</v>
      </c>
      <c r="J93" s="300">
        <f t="shared" si="25"/>
        <v>241.52083333333348</v>
      </c>
      <c r="K93" s="375" t="str">
        <f t="shared" si="18"/>
        <v/>
      </c>
    </row>
    <row r="94" spans="1:18" x14ac:dyDescent="0.2">
      <c r="A94" s="294" t="s">
        <v>31</v>
      </c>
      <c r="B94" s="279" t="s">
        <v>31</v>
      </c>
      <c r="C94" s="299">
        <f>VLOOKUP($B94,'[1]4-Disponibilidade'!$A$8:$C$102,2,FALSE)</f>
        <v>81.23809814453125</v>
      </c>
      <c r="D94" s="288">
        <f t="shared" si="22"/>
        <v>1049.9999624344009</v>
      </c>
      <c r="E94" s="288">
        <f>VLOOKUP($B94,'[1]4-Disponibilidade'!$A$8:$C$102,3,FALSE)</f>
        <v>853</v>
      </c>
      <c r="F94" s="289">
        <f>IF(ISNA(VLOOKUP($A94,'[1]3-Produção'!$A$9:$C$103,2,FALSE))=TRUE,"n/a",VLOOKUP($A94,'[1]3-Produção'!$A$9:$C$103,2,FALSE))</f>
        <v>451.66666666666669</v>
      </c>
      <c r="G94" s="289">
        <f>IF(ISNA(VLOOKUP($A94,'[1]3-Produção'!$A$9:$C$103,3,FALSE))=TRUE,"n/a",VLOOKUP($A94,'[1]3-Produção'!$A$9:$C$103,3,FALSE))</f>
        <v>453.61666666666662</v>
      </c>
      <c r="H94" s="289">
        <f t="shared" si="23"/>
        <v>1.9499999999999318</v>
      </c>
      <c r="I94" s="289">
        <f t="shared" si="24"/>
        <v>596.38329576773435</v>
      </c>
      <c r="J94" s="300">
        <f t="shared" si="25"/>
        <v>399.38333333333338</v>
      </c>
      <c r="K94" s="375" t="str">
        <f t="shared" si="18"/>
        <v/>
      </c>
    </row>
    <row r="95" spans="1:18" x14ac:dyDescent="0.2">
      <c r="A95" s="294" t="s">
        <v>122</v>
      </c>
      <c r="B95" s="279" t="s">
        <v>122</v>
      </c>
      <c r="C95" s="299">
        <f>VLOOKUP($B95,'[1]4-Disponibilidade'!$A$8:$C$102,2,FALSE)</f>
        <v>66.666664123535156</v>
      </c>
      <c r="D95" s="288">
        <f t="shared" si="22"/>
        <v>180.00000686645535</v>
      </c>
      <c r="E95" s="288">
        <f>VLOOKUP($B95,'[1]4-Disponibilidade'!$A$8:$C$102,3,FALSE)</f>
        <v>120</v>
      </c>
      <c r="F95" s="289">
        <f>IF(ISNA(VLOOKUP($A95,'[1]3-Produção'!$A$9:$C$103,2,FALSE))=TRUE,"n/a",VLOOKUP($A95,'[1]3-Produção'!$A$9:$C$103,2,FALSE))</f>
        <v>120</v>
      </c>
      <c r="G95" s="289">
        <f>IF(ISNA(VLOOKUP($A95,'[1]3-Produção'!$A$9:$C$103,3,FALSE))=TRUE,"n/a",VLOOKUP($A95,'[1]3-Produção'!$A$9:$C$103,3,FALSE))</f>
        <v>117.35416666666667</v>
      </c>
      <c r="H95" s="289">
        <f t="shared" si="23"/>
        <v>-2.6458333333333286</v>
      </c>
      <c r="I95" s="289">
        <f t="shared" si="24"/>
        <v>62.64584019978868</v>
      </c>
      <c r="J95" s="300">
        <f t="shared" si="25"/>
        <v>2.6458333333333286</v>
      </c>
      <c r="K95" s="375" t="str">
        <f t="shared" si="18"/>
        <v/>
      </c>
    </row>
    <row r="96" spans="1:18" x14ac:dyDescent="0.2">
      <c r="A96" s="294" t="s">
        <v>123</v>
      </c>
      <c r="B96" s="279" t="s">
        <v>123</v>
      </c>
      <c r="C96" s="299">
        <f>VLOOKUP($B96,'[1]4-Disponibilidade'!$A$8:$C$102,2,FALSE)</f>
        <v>49.887641906738281</v>
      </c>
      <c r="D96" s="288">
        <f t="shared" si="22"/>
        <v>444.99998700081801</v>
      </c>
      <c r="E96" s="288">
        <f>VLOOKUP($B96,'[1]4-Disponibilidade'!$A$8:$C$102,3,FALSE)</f>
        <v>222</v>
      </c>
      <c r="F96" s="289">
        <f>IF(ISNA(VLOOKUP($A96,'[1]3-Produção'!$A$9:$C$103,2,FALSE))=TRUE,"n/a",VLOOKUP($A96,'[1]3-Produção'!$A$9:$C$103,2,FALSE))</f>
        <v>210</v>
      </c>
      <c r="G96" s="289">
        <f>IF(ISNA(VLOOKUP($A96,'[1]3-Produção'!$A$9:$C$103,3,FALSE))=TRUE,"n/a",VLOOKUP($A96,'[1]3-Produção'!$A$9:$C$103,3,FALSE))</f>
        <v>199.21250000000001</v>
      </c>
      <c r="H96" s="289">
        <f t="shared" si="23"/>
        <v>-10.787499999999994</v>
      </c>
      <c r="I96" s="289">
        <f t="shared" si="24"/>
        <v>245.787487000818</v>
      </c>
      <c r="J96" s="300">
        <f t="shared" si="25"/>
        <v>22.787499999999994</v>
      </c>
      <c r="K96" s="375" t="str">
        <f t="shared" si="18"/>
        <v/>
      </c>
    </row>
    <row r="97" spans="1:11" x14ac:dyDescent="0.2">
      <c r="A97" s="294" t="s">
        <v>124</v>
      </c>
      <c r="B97" s="279" t="s">
        <v>124</v>
      </c>
      <c r="C97" s="299">
        <f>VLOOKUP($B97,'[1]4-Disponibilidade'!$A$8:$C$102,2,FALSE)</f>
        <v>75</v>
      </c>
      <c r="D97" s="288">
        <f t="shared" si="22"/>
        <v>800</v>
      </c>
      <c r="E97" s="288">
        <f>VLOOKUP($B97,'[1]4-Disponibilidade'!$A$8:$C$102,3,FALSE)</f>
        <v>600</v>
      </c>
      <c r="F97" s="289">
        <f>IF(ISNA(VLOOKUP($A97,'[1]3-Produção'!$A$9:$C$103,2,FALSE))=TRUE,"n/a",VLOOKUP($A97,'[1]3-Produção'!$A$9:$C$103,2,FALSE))</f>
        <v>351.25</v>
      </c>
      <c r="G97" s="289">
        <f>IF(ISNA(VLOOKUP($A97,'[1]3-Produção'!$A$9:$C$103,3,FALSE))=TRUE,"n/a",VLOOKUP($A97,'[1]3-Produção'!$A$9:$C$103,3,FALSE))</f>
        <v>367.47500000000002</v>
      </c>
      <c r="H97" s="289">
        <f t="shared" si="23"/>
        <v>16.225000000000023</v>
      </c>
      <c r="I97" s="289">
        <f t="shared" si="24"/>
        <v>432.52499999999998</v>
      </c>
      <c r="J97" s="300">
        <f t="shared" si="25"/>
        <v>232.52499999999998</v>
      </c>
      <c r="K97" s="375" t="str">
        <f t="shared" si="18"/>
        <v/>
      </c>
    </row>
    <row r="98" spans="1:11" x14ac:dyDescent="0.2">
      <c r="A98" s="294" t="s">
        <v>125</v>
      </c>
      <c r="B98" s="279" t="s">
        <v>125</v>
      </c>
      <c r="C98" s="299">
        <f>VLOOKUP($B98,'[1]4-Disponibilidade'!$A$8:$C$102,2,FALSE)</f>
        <v>83.333335876464844</v>
      </c>
      <c r="D98" s="288">
        <f t="shared" si="22"/>
        <v>2459.9999249267603</v>
      </c>
      <c r="E98" s="288">
        <f>VLOOKUP($B98,'[1]4-Disponibilidade'!$A$8:$C$102,3,FALSE)</f>
        <v>2050</v>
      </c>
      <c r="F98" s="289">
        <f>IF(ISNA(VLOOKUP($A98,'[1]3-Produção'!$A$9:$C$103,2,FALSE))=TRUE,"n/a",VLOOKUP($A98,'[1]3-Produção'!$A$9:$C$103,2,FALSE))</f>
        <v>1220.75</v>
      </c>
      <c r="G98" s="289">
        <f>IF(ISNA(VLOOKUP($A98,'[1]3-Produção'!$A$9:$C$103,3,FALSE))=TRUE,"n/a",VLOOKUP($A98,'[1]3-Produção'!$A$9:$C$103,3,FALSE))</f>
        <v>1125.3083333333334</v>
      </c>
      <c r="H98" s="289">
        <f t="shared" si="23"/>
        <v>-95.441666666666606</v>
      </c>
      <c r="I98" s="289">
        <f t="shared" si="24"/>
        <v>1334.6915915934269</v>
      </c>
      <c r="J98" s="300">
        <f t="shared" si="25"/>
        <v>924.69166666666661</v>
      </c>
      <c r="K98" s="375" t="str">
        <f t="shared" si="18"/>
        <v/>
      </c>
    </row>
    <row r="99" spans="1:11" ht="13.5" thickBot="1" x14ac:dyDescent="0.25">
      <c r="A99" s="301" t="s">
        <v>126</v>
      </c>
      <c r="B99" s="302" t="s">
        <v>126</v>
      </c>
      <c r="C99" s="303">
        <f>VLOOKUP($B99,'[1]4-Disponibilidade'!$A$8:$C$102,2,FALSE)</f>
        <v>83.333335876464844</v>
      </c>
      <c r="D99" s="304">
        <f t="shared" si="22"/>
        <v>3161.9999035034207</v>
      </c>
      <c r="E99" s="304">
        <f>VLOOKUP($B99,'[1]4-Disponibilidade'!$A$8:$C$102,3,FALSE)</f>
        <v>2635</v>
      </c>
      <c r="F99" s="305">
        <f>IF(ISNA(VLOOKUP($A99,'[1]3-Produção'!$A$9:$C$103,2,FALSE))=TRUE,"n/a",VLOOKUP($A99,'[1]3-Produção'!$A$9:$C$103,2,FALSE))</f>
        <v>2268.75</v>
      </c>
      <c r="G99" s="305">
        <f>IF(ISNA(VLOOKUP($A99,'[1]3-Produção'!$A$9:$C$103,3,FALSE))=TRUE,"n/a",VLOOKUP($A99,'[1]3-Produção'!$A$9:$C$103,3,FALSE))</f>
        <v>2243.8874999999994</v>
      </c>
      <c r="H99" s="305">
        <f t="shared" si="23"/>
        <v>-24.862500000000637</v>
      </c>
      <c r="I99" s="305">
        <f t="shared" si="24"/>
        <v>918.11240350342132</v>
      </c>
      <c r="J99" s="306">
        <f t="shared" si="25"/>
        <v>391.11250000000064</v>
      </c>
      <c r="K99" s="375" t="str">
        <f t="shared" si="18"/>
        <v/>
      </c>
    </row>
    <row r="100" spans="1:11" ht="13.5" thickBot="1" x14ac:dyDescent="0.25">
      <c r="A100" s="307" t="s">
        <v>263</v>
      </c>
      <c r="B100" s="308"/>
      <c r="C100" s="309">
        <f>SUMPRODUCT(C90:C99,E90:E99)/E100</f>
        <v>80.824476444619833</v>
      </c>
      <c r="D100" s="310">
        <f>SUM(D90:D99)</f>
        <v>10279.499785828581</v>
      </c>
      <c r="E100" s="310">
        <f t="shared" ref="E100:J100" si="26">SUM(E90:E99)</f>
        <v>8230</v>
      </c>
      <c r="F100" s="311">
        <f t="shared" si="26"/>
        <v>5931.5833333333339</v>
      </c>
      <c r="G100" s="311">
        <f t="shared" si="26"/>
        <v>5810.1833333333325</v>
      </c>
      <c r="H100" s="311">
        <f t="shared" si="26"/>
        <v>-121.40000000000083</v>
      </c>
      <c r="I100" s="311">
        <f t="shared" si="26"/>
        <v>4469.3164524952481</v>
      </c>
      <c r="J100" s="312">
        <f t="shared" si="26"/>
        <v>2419.8166666666675</v>
      </c>
      <c r="K100" s="375" t="str">
        <f t="shared" si="18"/>
        <v/>
      </c>
    </row>
    <row r="101" spans="1:11" ht="13.5" thickBot="1" x14ac:dyDescent="0.25">
      <c r="C101" s="56"/>
      <c r="K101" s="375" t="str">
        <f t="shared" si="18"/>
        <v/>
      </c>
    </row>
    <row r="102" spans="1:11" x14ac:dyDescent="0.2">
      <c r="A102" s="326" t="s">
        <v>127</v>
      </c>
      <c r="B102" s="323" t="s">
        <v>35</v>
      </c>
      <c r="C102" s="316">
        <f>VLOOKUP($B102,'[1]4-Disponibilidade'!$A$8:$C$102,2,FALSE)</f>
        <v>88</v>
      </c>
      <c r="D102" s="316">
        <f t="shared" si="19"/>
        <v>4200</v>
      </c>
      <c r="E102" s="316">
        <f>VLOOKUP($B102,'[1]4-Disponibilidade'!$A$8:$C$102,3,FALSE)</f>
        <v>3696</v>
      </c>
      <c r="F102" s="317">
        <f>IF(ISNA(VLOOKUP($A102,'[1]3-Produção'!$A$9:$C$104,2,FALSE))=TRUE,"n/a",VLOOKUP($A102,'[1]3-Produção'!$A$9:$C$104,2,FALSE))</f>
        <v>3500</v>
      </c>
      <c r="G102" s="317">
        <f>IF(ISNA(VLOOKUP($A102,'[1]3-Produção'!$A$9:$C$104,2,FALSE))=TRUE,"n/a",VLOOKUP($A102,'[1]3-Produção'!$A$9:$C$104,2,FALSE))</f>
        <v>3500</v>
      </c>
      <c r="H102" s="317">
        <f t="shared" si="20"/>
        <v>0</v>
      </c>
      <c r="I102" s="317">
        <f t="shared" si="15"/>
        <v>700</v>
      </c>
      <c r="J102" s="318">
        <f t="shared" si="16"/>
        <v>196</v>
      </c>
      <c r="K102" s="375" t="str">
        <f t="shared" si="18"/>
        <v/>
      </c>
    </row>
    <row r="103" spans="1:11" x14ac:dyDescent="0.2">
      <c r="A103" s="327" t="s">
        <v>206</v>
      </c>
      <c r="B103" s="292" t="s">
        <v>206</v>
      </c>
      <c r="C103" s="290">
        <f>VLOOKUP($B103,'[1]4-Disponibilidade'!$A$8:$C$102,2,FALSE)</f>
        <v>95</v>
      </c>
      <c r="D103" s="290">
        <f t="shared" si="19"/>
        <v>40</v>
      </c>
      <c r="E103" s="290">
        <f>VLOOKUP($B103,'[1]4-Disponibilidade'!$A$8:$C$102,3,FALSE)</f>
        <v>38</v>
      </c>
      <c r="F103" s="291" t="str">
        <f>IF(ISNA(VLOOKUP($A103,'[1]3-Produção'!$A$9:$C$104,2,FALSE))=TRUE,"n/a",VLOOKUP($A103,'[1]3-Produção'!$A$9:$C$104,2,FALSE))</f>
        <v>n/a</v>
      </c>
      <c r="G103" s="291" t="str">
        <f>IF(ISNA(VLOOKUP($A103,'[1]3-Produção'!$A$9:$C$104,2,FALSE))=TRUE,"n/a",VLOOKUP($A103,'[1]3-Produção'!$A$9:$C$104,2,FALSE))</f>
        <v>n/a</v>
      </c>
      <c r="H103" s="291" t="str">
        <f t="shared" si="20"/>
        <v>n/a</v>
      </c>
      <c r="I103" s="291" t="str">
        <f t="shared" si="15"/>
        <v>n/a</v>
      </c>
      <c r="J103" s="319" t="str">
        <f t="shared" si="16"/>
        <v>n/a</v>
      </c>
      <c r="K103" s="375" t="str">
        <f t="shared" si="18"/>
        <v>X</v>
      </c>
    </row>
    <row r="104" spans="1:11" ht="13.5" thickBot="1" x14ac:dyDescent="0.25">
      <c r="A104" s="328" t="s">
        <v>216</v>
      </c>
      <c r="B104" s="324" t="s">
        <v>215</v>
      </c>
      <c r="C104" s="320">
        <f>VLOOKUP($B104,'[1]4-Disponibilidade'!$A$8:$C$102,2,FALSE)</f>
        <v>100</v>
      </c>
      <c r="D104" s="320">
        <f t="shared" si="19"/>
        <v>30</v>
      </c>
      <c r="E104" s="320">
        <f>VLOOKUP($B104,'[1]4-Disponibilidade'!$A$8:$C$102,3,FALSE)</f>
        <v>30</v>
      </c>
      <c r="F104" s="321">
        <f>IF(ISNA(VLOOKUP($A104,'[1]3-Produção'!$A$9:$C$104,2,FALSE))=TRUE,"n/a",VLOOKUP($A104,'[1]3-Produção'!$A$9:$C$104,2,FALSE))</f>
        <v>30</v>
      </c>
      <c r="G104" s="321">
        <f>IF(ISNA(VLOOKUP($A104,'[1]3-Produção'!$A$9:$C$104,2,FALSE))=TRUE,"n/a",VLOOKUP($A104,'[1]3-Produção'!$A$9:$C$104,2,FALSE))</f>
        <v>30</v>
      </c>
      <c r="H104" s="321">
        <f t="shared" si="20"/>
        <v>0</v>
      </c>
      <c r="I104" s="321">
        <f t="shared" si="15"/>
        <v>0</v>
      </c>
      <c r="J104" s="322">
        <f t="shared" si="16"/>
        <v>0</v>
      </c>
      <c r="K104" s="375" t="str">
        <f t="shared" si="18"/>
        <v/>
      </c>
    </row>
    <row r="105" spans="1:11" ht="13.5" thickBot="1" x14ac:dyDescent="0.25">
      <c r="A105" s="329" t="s">
        <v>263</v>
      </c>
      <c r="B105" s="325"/>
      <c r="C105" s="313">
        <f>SUMPRODUCT(C102:C104,E102:E104)/E105</f>
        <v>88.166312433581297</v>
      </c>
      <c r="D105" s="313">
        <f>SUM(D102:D104)</f>
        <v>4270</v>
      </c>
      <c r="E105" s="313">
        <f t="shared" ref="E105:J105" si="27">SUM(E102:E104)</f>
        <v>3764</v>
      </c>
      <c r="F105" s="314">
        <f t="shared" si="27"/>
        <v>3530</v>
      </c>
      <c r="G105" s="314">
        <f t="shared" si="27"/>
        <v>3530</v>
      </c>
      <c r="H105" s="314">
        <f t="shared" si="27"/>
        <v>0</v>
      </c>
      <c r="I105" s="314">
        <f t="shared" si="27"/>
        <v>700</v>
      </c>
      <c r="J105" s="315">
        <f t="shared" si="27"/>
        <v>196</v>
      </c>
      <c r="K105" s="375" t="str">
        <f t="shared" si="18"/>
        <v/>
      </c>
    </row>
    <row r="106" spans="1:11" ht="13.5" thickBot="1" x14ac:dyDescent="0.25">
      <c r="A106" s="84"/>
      <c r="B106" s="84"/>
      <c r="C106" s="56"/>
      <c r="D106" s="85"/>
      <c r="E106" s="85"/>
      <c r="F106" s="86"/>
      <c r="G106" s="86"/>
      <c r="H106" s="86"/>
      <c r="I106" s="86"/>
      <c r="J106" s="86"/>
      <c r="K106" s="375" t="str">
        <f t="shared" si="18"/>
        <v/>
      </c>
    </row>
    <row r="107" spans="1:11" ht="13.5" thickBot="1" x14ac:dyDescent="0.25">
      <c r="A107" s="366" t="s">
        <v>184</v>
      </c>
      <c r="B107" s="367" t="s">
        <v>184</v>
      </c>
      <c r="C107" s="368">
        <f>(SUMPRODUCT(C5:C69,E5:E69)+SUMPRODUCT(C72:C87,E72:E87)+SUMPRODUCT(C90:C99,E90:E99)+SUMPRODUCT(C102:C104,E102:E104))/E107</f>
        <v>86.603361314435688</v>
      </c>
      <c r="D107" s="368">
        <f>D70+D88+D100+D105</f>
        <v>66217.930012109398</v>
      </c>
      <c r="E107" s="368">
        <f t="shared" ref="E107:J107" si="28">E70+E88+E100+E105</f>
        <v>56340</v>
      </c>
      <c r="F107" s="369">
        <f t="shared" si="28"/>
        <v>35926.830595906576</v>
      </c>
      <c r="G107" s="369">
        <f t="shared" si="28"/>
        <v>42377.675000000003</v>
      </c>
      <c r="H107" s="369">
        <f t="shared" si="28"/>
        <v>6450.8444040934246</v>
      </c>
      <c r="I107" s="369">
        <f t="shared" si="28"/>
        <v>23855.996678776068</v>
      </c>
      <c r="J107" s="370">
        <f t="shared" si="28"/>
        <v>13924.324999999999</v>
      </c>
      <c r="K107" s="375" t="str">
        <f t="shared" si="18"/>
        <v/>
      </c>
    </row>
    <row r="108" spans="1:11" x14ac:dyDescent="0.2">
      <c r="A108" s="31" t="s">
        <v>245</v>
      </c>
      <c r="G108" s="26"/>
    </row>
    <row r="109" spans="1:11" x14ac:dyDescent="0.2">
      <c r="A109" s="31" t="s">
        <v>279</v>
      </c>
      <c r="I109" s="62"/>
      <c r="J109" s="62"/>
    </row>
    <row r="110" spans="1:11" x14ac:dyDescent="0.2">
      <c r="A110" s="31"/>
      <c r="E110" s="62"/>
    </row>
    <row r="113" spans="1:8" x14ac:dyDescent="0.2">
      <c r="A113" s="1"/>
      <c r="B113" s="3"/>
      <c r="H113" s="3"/>
    </row>
    <row r="114" spans="1:8" x14ac:dyDescent="0.2">
      <c r="B114" s="3"/>
      <c r="H114" s="3"/>
    </row>
    <row r="115" spans="1:8" x14ac:dyDescent="0.2">
      <c r="A115" s="379"/>
      <c r="B115" s="3"/>
      <c r="H115" s="3"/>
    </row>
    <row r="116" spans="1:8" x14ac:dyDescent="0.2">
      <c r="A116" s="379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</sheetData>
  <printOptions horizontalCentered="1"/>
  <pageMargins left="0.25" right="0.25" top="0.5" bottom="0.25" header="0.25" footer="0.5"/>
  <pageSetup scale="50"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4:X89"/>
  <sheetViews>
    <sheetView zoomScaleNormal="100" workbookViewId="0"/>
  </sheetViews>
  <sheetFormatPr defaultRowHeight="12.75" x14ac:dyDescent="0.2"/>
  <sheetData>
    <row r="34" spans="3:24" x14ac:dyDescent="0.2">
      <c r="C34" s="66"/>
      <c r="D34" s="67" t="s">
        <v>253</v>
      </c>
      <c r="E34" s="67"/>
      <c r="F34" s="68" t="s">
        <v>246</v>
      </c>
      <c r="G34" s="68" t="s">
        <v>147</v>
      </c>
      <c r="H34" s="68" t="s">
        <v>210</v>
      </c>
      <c r="I34" s="69" t="s">
        <v>249</v>
      </c>
      <c r="J34" s="66"/>
      <c r="K34" s="66"/>
      <c r="L34" s="66"/>
      <c r="M34" s="66"/>
      <c r="N34" s="66"/>
      <c r="O34" s="66"/>
      <c r="P34" s="66"/>
      <c r="Q34" s="67" t="s">
        <v>252</v>
      </c>
      <c r="R34" s="67"/>
      <c r="S34" s="68" t="s">
        <v>246</v>
      </c>
      <c r="T34" s="68" t="s">
        <v>147</v>
      </c>
      <c r="U34" s="68" t="s">
        <v>210</v>
      </c>
      <c r="V34" s="69" t="s">
        <v>249</v>
      </c>
      <c r="W34" s="66"/>
      <c r="X34" s="66"/>
    </row>
    <row r="35" spans="3:24" x14ac:dyDescent="0.2">
      <c r="C35" s="66"/>
      <c r="D35" s="67" t="s">
        <v>250</v>
      </c>
      <c r="E35" s="67"/>
      <c r="F35" s="70">
        <v>0.66700000000000004</v>
      </c>
      <c r="G35" s="70">
        <v>0.63</v>
      </c>
      <c r="H35" s="70">
        <v>0.68100000000000005</v>
      </c>
      <c r="I35" s="71">
        <v>160269</v>
      </c>
      <c r="J35" s="66"/>
      <c r="K35" s="66"/>
      <c r="L35" s="66"/>
      <c r="M35" s="66"/>
      <c r="N35" s="66"/>
      <c r="O35" s="66"/>
      <c r="P35" s="66"/>
      <c r="Q35" s="67" t="s">
        <v>250</v>
      </c>
      <c r="R35" s="67"/>
      <c r="S35" s="70">
        <v>0.13100000000000001</v>
      </c>
      <c r="T35" s="70">
        <v>0.14499999999999999</v>
      </c>
      <c r="U35" s="70">
        <v>0.21299999999999999</v>
      </c>
      <c r="V35" s="71">
        <v>50192</v>
      </c>
      <c r="W35" s="66"/>
      <c r="X35" s="66"/>
    </row>
    <row r="71" spans="2:24" x14ac:dyDescent="0.2">
      <c r="C71" s="66"/>
      <c r="D71" s="67" t="s">
        <v>251</v>
      </c>
      <c r="E71" s="67"/>
      <c r="F71" s="68" t="s">
        <v>246</v>
      </c>
      <c r="G71" s="68" t="s">
        <v>147</v>
      </c>
      <c r="H71" s="68" t="s">
        <v>210</v>
      </c>
      <c r="I71" s="69" t="s">
        <v>249</v>
      </c>
      <c r="J71" s="66"/>
      <c r="K71" s="66"/>
      <c r="L71" s="66"/>
      <c r="M71" s="66"/>
      <c r="N71" s="66"/>
      <c r="O71" s="66"/>
      <c r="P71" s="66"/>
      <c r="Q71" s="67" t="s">
        <v>248</v>
      </c>
      <c r="R71" s="67"/>
      <c r="S71" s="68" t="s">
        <v>246</v>
      </c>
      <c r="T71" s="68" t="s">
        <v>147</v>
      </c>
      <c r="U71" s="68" t="s">
        <v>210</v>
      </c>
      <c r="V71" s="69" t="s">
        <v>249</v>
      </c>
      <c r="W71" s="66"/>
    </row>
    <row r="72" spans="2:24" x14ac:dyDescent="0.2">
      <c r="B72" s="3"/>
      <c r="C72" s="66"/>
      <c r="D72" s="67" t="s">
        <v>250</v>
      </c>
      <c r="E72" s="67"/>
      <c r="F72" s="70">
        <v>0.129</v>
      </c>
      <c r="G72" s="70">
        <v>0.16200000000000001</v>
      </c>
      <c r="H72" s="70">
        <v>6.0999999999999999E-2</v>
      </c>
      <c r="I72" s="71">
        <v>14319</v>
      </c>
      <c r="J72" s="66"/>
      <c r="K72" s="66"/>
      <c r="L72" s="66"/>
      <c r="M72" s="66"/>
      <c r="N72" s="66"/>
      <c r="O72" s="72"/>
      <c r="P72" s="66"/>
      <c r="Q72" s="67" t="s">
        <v>250</v>
      </c>
      <c r="R72" s="67"/>
      <c r="S72" s="70">
        <v>7.2999999999999995E-2</v>
      </c>
      <c r="T72" s="70">
        <v>6.3E-2</v>
      </c>
      <c r="U72" s="70">
        <v>4.4999999999999998E-2</v>
      </c>
      <c r="V72" s="71">
        <v>10692</v>
      </c>
      <c r="W72" s="73"/>
      <c r="X72" s="3"/>
    </row>
    <row r="74" spans="2:24" x14ac:dyDescent="0.2">
      <c r="B74" s="42" t="s">
        <v>212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50"/>
      <c r="S74" s="43"/>
      <c r="T74" s="43"/>
      <c r="U74" s="50"/>
      <c r="V74" s="43"/>
      <c r="W74" s="43"/>
      <c r="X74" s="44"/>
    </row>
    <row r="75" spans="2:24" x14ac:dyDescent="0.2">
      <c r="B75" s="45"/>
      <c r="C75" s="3" t="s">
        <v>255</v>
      </c>
      <c r="D75" s="3"/>
      <c r="E75" s="3"/>
      <c r="F75" s="3"/>
      <c r="G75" s="3"/>
      <c r="H75" s="3" t="s">
        <v>213</v>
      </c>
      <c r="I75" s="3"/>
      <c r="J75" s="3"/>
      <c r="K75" s="3"/>
      <c r="L75" s="3"/>
      <c r="M75" s="3"/>
      <c r="N75" s="3"/>
      <c r="O75" s="3" t="s">
        <v>214</v>
      </c>
      <c r="P75" s="3"/>
      <c r="Q75" s="3"/>
      <c r="R75" s="3"/>
      <c r="S75" s="3" t="s">
        <v>260</v>
      </c>
      <c r="T75" s="3"/>
      <c r="U75" s="3" t="s">
        <v>261</v>
      </c>
      <c r="V75" s="3"/>
      <c r="W75" s="83" t="s">
        <v>262</v>
      </c>
      <c r="X75" s="46"/>
    </row>
    <row r="76" spans="2:24" x14ac:dyDescent="0.2">
      <c r="B76" s="47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9"/>
    </row>
    <row r="84" spans="1:9" x14ac:dyDescent="0.2">
      <c r="A84" s="80" t="s">
        <v>256</v>
      </c>
      <c r="B84" s="74"/>
      <c r="C84" s="74"/>
      <c r="D84" s="74"/>
      <c r="E84" s="74"/>
      <c r="F84" s="44"/>
    </row>
    <row r="85" spans="1:9" x14ac:dyDescent="0.2">
      <c r="A85" s="75"/>
      <c r="B85" s="76" t="s">
        <v>246</v>
      </c>
      <c r="C85" s="76" t="s">
        <v>147</v>
      </c>
      <c r="D85" s="76" t="s">
        <v>210</v>
      </c>
      <c r="E85" s="77" t="s">
        <v>249</v>
      </c>
      <c r="F85" s="46"/>
      <c r="H85" s="26"/>
      <c r="I85" s="88"/>
    </row>
    <row r="86" spans="1:9" x14ac:dyDescent="0.2">
      <c r="A86" s="78" t="s">
        <v>254</v>
      </c>
      <c r="B86" s="79" t="str">
        <f>IF(F35+F72+S35+S72=1,"Ok","Wrong")</f>
        <v>Ok</v>
      </c>
      <c r="C86" s="79" t="str">
        <f>IF(G35+G72+T35+T72=1,"Ok","Wrong")</f>
        <v>Ok</v>
      </c>
      <c r="D86" s="79" t="str">
        <f>IF(H35+H72+U35+U72=1,"Ok","Wrong")</f>
        <v>Ok</v>
      </c>
      <c r="E86" s="79" t="str">
        <f>IF(I35+I72+V35+V72=235472,"Ok","Wrong")</f>
        <v>Ok</v>
      </c>
      <c r="F86" s="49"/>
      <c r="H86" s="26"/>
      <c r="I86" s="88"/>
    </row>
    <row r="87" spans="1:9" x14ac:dyDescent="0.2">
      <c r="H87" s="26"/>
      <c r="I87" s="88"/>
    </row>
    <row r="88" spans="1:9" x14ac:dyDescent="0.2">
      <c r="H88" s="26"/>
      <c r="I88" s="88"/>
    </row>
    <row r="89" spans="1:9" x14ac:dyDescent="0.2">
      <c r="H89" s="26"/>
    </row>
  </sheetData>
  <printOptions horizontalCentered="1"/>
  <pageMargins left="0.25" right="0.25" top="0.5" bottom="0.25" header="0.5" footer="0.5"/>
  <pageSetup scale="56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37"/>
  <sheetViews>
    <sheetView workbookViewId="0">
      <selection activeCell="B5" sqref="B5"/>
    </sheetView>
  </sheetViews>
  <sheetFormatPr defaultRowHeight="12" x14ac:dyDescent="0.2"/>
  <cols>
    <col min="1" max="1" width="7.42578125" style="403" customWidth="1"/>
    <col min="2" max="13" width="8.5703125" style="403" customWidth="1"/>
    <col min="14" max="14" width="9.140625" style="73"/>
    <col min="15" max="15" width="8.42578125" style="73" customWidth="1"/>
    <col min="16" max="27" width="8.5703125" style="73" customWidth="1"/>
    <col min="28" max="16384" width="9.140625" style="73"/>
  </cols>
  <sheetData>
    <row r="1" spans="1:27" ht="13.5" customHeight="1" thickBot="1" x14ac:dyDescent="0.25">
      <c r="A1" s="426" t="s">
        <v>281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8"/>
      <c r="O1" s="426" t="s">
        <v>284</v>
      </c>
      <c r="P1" s="427"/>
      <c r="Q1" s="427"/>
      <c r="R1" s="427"/>
      <c r="S1" s="427"/>
      <c r="T1" s="427"/>
      <c r="U1" s="427"/>
      <c r="V1" s="427"/>
      <c r="W1" s="427"/>
      <c r="X1" s="427"/>
      <c r="Y1" s="427"/>
      <c r="Z1" s="427"/>
      <c r="AA1" s="428"/>
    </row>
    <row r="2" spans="1:27" ht="12.75" customHeight="1" x14ac:dyDescent="0.2">
      <c r="A2" s="383"/>
      <c r="B2" s="423" t="s">
        <v>137</v>
      </c>
      <c r="C2" s="424"/>
      <c r="D2" s="425"/>
      <c r="E2" s="423" t="s">
        <v>138</v>
      </c>
      <c r="F2" s="424"/>
      <c r="G2" s="425"/>
      <c r="H2" s="423" t="s">
        <v>142</v>
      </c>
      <c r="I2" s="424"/>
      <c r="J2" s="425"/>
      <c r="K2" s="423" t="s">
        <v>211</v>
      </c>
      <c r="L2" s="424"/>
      <c r="M2" s="425"/>
      <c r="O2" s="383"/>
      <c r="P2" s="423" t="s">
        <v>137</v>
      </c>
      <c r="Q2" s="424"/>
      <c r="R2" s="425"/>
      <c r="S2" s="423" t="s">
        <v>138</v>
      </c>
      <c r="T2" s="424"/>
      <c r="U2" s="425"/>
      <c r="V2" s="423" t="s">
        <v>142</v>
      </c>
      <c r="W2" s="424"/>
      <c r="X2" s="425"/>
      <c r="Y2" s="423" t="s">
        <v>211</v>
      </c>
      <c r="Z2" s="424"/>
      <c r="AA2" s="425"/>
    </row>
    <row r="3" spans="1:27" ht="12.75" thickBot="1" x14ac:dyDescent="0.25">
      <c r="A3" s="384"/>
      <c r="B3" s="385" t="s">
        <v>282</v>
      </c>
      <c r="C3" s="386" t="s">
        <v>267</v>
      </c>
      <c r="D3" s="387">
        <v>2000</v>
      </c>
      <c r="E3" s="385" t="s">
        <v>282</v>
      </c>
      <c r="F3" s="386" t="s">
        <v>267</v>
      </c>
      <c r="G3" s="387">
        <v>2000</v>
      </c>
      <c r="H3" s="385" t="s">
        <v>282</v>
      </c>
      <c r="I3" s="386" t="s">
        <v>267</v>
      </c>
      <c r="J3" s="387">
        <v>2000</v>
      </c>
      <c r="K3" s="385" t="s">
        <v>282</v>
      </c>
      <c r="L3" s="386" t="s">
        <v>267</v>
      </c>
      <c r="M3" s="387">
        <v>2000</v>
      </c>
      <c r="O3" s="384"/>
      <c r="P3" s="385" t="s">
        <v>282</v>
      </c>
      <c r="Q3" s="386" t="s">
        <v>267</v>
      </c>
      <c r="R3" s="387">
        <v>2000</v>
      </c>
      <c r="S3" s="385" t="s">
        <v>282</v>
      </c>
      <c r="T3" s="386" t="s">
        <v>267</v>
      </c>
      <c r="U3" s="387">
        <v>2000</v>
      </c>
      <c r="V3" s="385" t="s">
        <v>282</v>
      </c>
      <c r="W3" s="386" t="s">
        <v>267</v>
      </c>
      <c r="X3" s="387">
        <v>2000</v>
      </c>
      <c r="Y3" s="385" t="s">
        <v>282</v>
      </c>
      <c r="Z3" s="386" t="s">
        <v>267</v>
      </c>
      <c r="AA3" s="387">
        <v>2000</v>
      </c>
    </row>
    <row r="4" spans="1:27" x14ac:dyDescent="0.2">
      <c r="A4" s="388" t="s">
        <v>132</v>
      </c>
      <c r="B4" s="389">
        <v>0.68799999999999994</v>
      </c>
      <c r="C4" s="390">
        <v>0.56799999999999995</v>
      </c>
      <c r="D4" s="391">
        <v>0.29299999999999998</v>
      </c>
      <c r="E4" s="392">
        <v>0.97799999999999998</v>
      </c>
      <c r="F4" s="392">
        <v>0.79200000000000004</v>
      </c>
      <c r="G4" s="392">
        <v>0.47499999999999998</v>
      </c>
      <c r="H4" s="393">
        <v>0.79400000000000004</v>
      </c>
      <c r="I4" s="392">
        <v>0.44400000000000001</v>
      </c>
      <c r="J4" s="391">
        <v>0.35700000000000004</v>
      </c>
      <c r="K4" s="392">
        <v>0.96099999999999997</v>
      </c>
      <c r="L4" s="392">
        <v>0.74199999999999999</v>
      </c>
      <c r="M4" s="391">
        <v>0.755</v>
      </c>
      <c r="O4" s="388" t="s">
        <v>132</v>
      </c>
      <c r="P4" s="394" t="s">
        <v>283</v>
      </c>
      <c r="Q4" s="390">
        <f t="shared" ref="Q4:Q15" si="0">C4-B4</f>
        <v>-0.12</v>
      </c>
      <c r="R4" s="391">
        <f t="shared" ref="R4:R15" si="1">D4-C4</f>
        <v>-0.27499999999999997</v>
      </c>
      <c r="S4" s="394" t="s">
        <v>283</v>
      </c>
      <c r="T4" s="390">
        <f t="shared" ref="T4:T15" si="2">F4-E4</f>
        <v>-0.18599999999999994</v>
      </c>
      <c r="U4" s="391">
        <f t="shared" ref="U4:U15" si="3">G4-F4</f>
        <v>-0.31700000000000006</v>
      </c>
      <c r="V4" s="394" t="s">
        <v>283</v>
      </c>
      <c r="W4" s="390">
        <f t="shared" ref="W4:W15" si="4">I4-H4</f>
        <v>-0.35000000000000003</v>
      </c>
      <c r="X4" s="391">
        <f t="shared" ref="X4:X15" si="5">J4-I4</f>
        <v>-8.6999999999999966E-2</v>
      </c>
      <c r="Y4" s="394" t="s">
        <v>283</v>
      </c>
      <c r="Z4" s="390">
        <f t="shared" ref="Z4:Z15" si="6">L4-K4</f>
        <v>-0.21899999999999997</v>
      </c>
      <c r="AA4" s="391">
        <f t="shared" ref="AA4:AA15" si="7">M4-L4</f>
        <v>1.3000000000000012E-2</v>
      </c>
    </row>
    <row r="5" spans="1:27" x14ac:dyDescent="0.2">
      <c r="A5" s="395" t="s">
        <v>150</v>
      </c>
      <c r="B5" s="389">
        <v>0.79</v>
      </c>
      <c r="C5" s="390">
        <v>0.622</v>
      </c>
      <c r="D5" s="391">
        <v>0.45</v>
      </c>
      <c r="E5" s="392">
        <v>0.9890000000000001</v>
      </c>
      <c r="F5" s="392">
        <v>0.84399999999999997</v>
      </c>
      <c r="G5" s="392">
        <v>0.47299999999999998</v>
      </c>
      <c r="H5" s="393">
        <v>0.85699999999999998</v>
      </c>
      <c r="I5" s="392">
        <v>0.42599999999999999</v>
      </c>
      <c r="J5" s="391">
        <v>0.54100000000000004</v>
      </c>
      <c r="K5" s="392">
        <v>0.97</v>
      </c>
      <c r="L5" s="392">
        <v>0.80200000000000005</v>
      </c>
      <c r="M5" s="391">
        <v>0.80700000000000005</v>
      </c>
      <c r="O5" s="395" t="s">
        <v>150</v>
      </c>
      <c r="P5" s="394" t="s">
        <v>283</v>
      </c>
      <c r="Q5" s="390">
        <f t="shared" si="0"/>
        <v>-0.16800000000000004</v>
      </c>
      <c r="R5" s="391">
        <f t="shared" si="1"/>
        <v>-0.17199999999999999</v>
      </c>
      <c r="S5" s="394" t="s">
        <v>283</v>
      </c>
      <c r="T5" s="390">
        <f t="shared" si="2"/>
        <v>-0.14500000000000013</v>
      </c>
      <c r="U5" s="391">
        <f t="shared" si="3"/>
        <v>-0.371</v>
      </c>
      <c r="V5" s="394" t="s">
        <v>283</v>
      </c>
      <c r="W5" s="390">
        <f t="shared" si="4"/>
        <v>-0.43099999999999999</v>
      </c>
      <c r="X5" s="391">
        <f t="shared" si="5"/>
        <v>0.11500000000000005</v>
      </c>
      <c r="Y5" s="394" t="s">
        <v>283</v>
      </c>
      <c r="Z5" s="390">
        <f t="shared" si="6"/>
        <v>-0.16799999999999993</v>
      </c>
      <c r="AA5" s="391">
        <f t="shared" si="7"/>
        <v>5.0000000000000044E-3</v>
      </c>
    </row>
    <row r="6" spans="1:27" x14ac:dyDescent="0.2">
      <c r="A6" s="395" t="s">
        <v>133</v>
      </c>
      <c r="B6" s="389">
        <v>0.83099999999999996</v>
      </c>
      <c r="C6" s="390">
        <v>0.71</v>
      </c>
      <c r="D6" s="391">
        <v>0.58499999999999996</v>
      </c>
      <c r="E6" s="392">
        <v>0.95700000000000007</v>
      </c>
      <c r="F6" s="392">
        <v>0.749</v>
      </c>
      <c r="G6" s="392">
        <v>0.52300000000000002</v>
      </c>
      <c r="H6" s="393">
        <v>0.81599999999999995</v>
      </c>
      <c r="I6" s="392">
        <v>0.58599999999999997</v>
      </c>
      <c r="J6" s="391">
        <v>0.66</v>
      </c>
      <c r="K6" s="392">
        <v>0.95499999999999996</v>
      </c>
      <c r="L6" s="392">
        <v>0.81</v>
      </c>
      <c r="M6" s="391">
        <v>0.83299999999999996</v>
      </c>
      <c r="O6" s="395" t="s">
        <v>133</v>
      </c>
      <c r="P6" s="394" t="s">
        <v>283</v>
      </c>
      <c r="Q6" s="390">
        <f t="shared" si="0"/>
        <v>-0.121</v>
      </c>
      <c r="R6" s="391">
        <f t="shared" si="1"/>
        <v>-0.125</v>
      </c>
      <c r="S6" s="394" t="s">
        <v>283</v>
      </c>
      <c r="T6" s="390">
        <f t="shared" si="2"/>
        <v>-0.20800000000000007</v>
      </c>
      <c r="U6" s="391">
        <f t="shared" si="3"/>
        <v>-0.22599999999999998</v>
      </c>
      <c r="V6" s="394" t="s">
        <v>283</v>
      </c>
      <c r="W6" s="390">
        <f t="shared" si="4"/>
        <v>-0.22999999999999998</v>
      </c>
      <c r="X6" s="391">
        <f t="shared" si="5"/>
        <v>7.4000000000000066E-2</v>
      </c>
      <c r="Y6" s="394" t="s">
        <v>283</v>
      </c>
      <c r="Z6" s="390">
        <f t="shared" si="6"/>
        <v>-0.14499999999999991</v>
      </c>
      <c r="AA6" s="391">
        <f t="shared" si="7"/>
        <v>2.2999999999999909E-2</v>
      </c>
    </row>
    <row r="7" spans="1:27" x14ac:dyDescent="0.2">
      <c r="A7" s="395" t="s">
        <v>151</v>
      </c>
      <c r="B7" s="389">
        <v>0.81799999999999995</v>
      </c>
      <c r="C7" s="390">
        <v>0.69799999999999995</v>
      </c>
      <c r="D7" s="391">
        <v>0.59399999999999997</v>
      </c>
      <c r="E7" s="392">
        <v>0.92799999999999994</v>
      </c>
      <c r="F7" s="392">
        <v>0.72699999999999998</v>
      </c>
      <c r="G7" s="392">
        <v>0.4</v>
      </c>
      <c r="H7" s="393">
        <v>0.84099999999999997</v>
      </c>
      <c r="I7" s="392">
        <v>0.57399999999999995</v>
      </c>
      <c r="J7" s="391">
        <v>0.71199999999999997</v>
      </c>
      <c r="K7" s="392">
        <v>1.04</v>
      </c>
      <c r="L7" s="392">
        <v>0.83199999999999996</v>
      </c>
      <c r="M7" s="391">
        <v>0.83699999999999997</v>
      </c>
      <c r="O7" s="395" t="s">
        <v>151</v>
      </c>
      <c r="P7" s="394" t="s">
        <v>283</v>
      </c>
      <c r="Q7" s="390">
        <f t="shared" si="0"/>
        <v>-0.12</v>
      </c>
      <c r="R7" s="391">
        <f t="shared" si="1"/>
        <v>-0.10399999999999998</v>
      </c>
      <c r="S7" s="394" t="s">
        <v>283</v>
      </c>
      <c r="T7" s="390">
        <f t="shared" si="2"/>
        <v>-0.20099999999999996</v>
      </c>
      <c r="U7" s="391">
        <f t="shared" si="3"/>
        <v>-0.32699999999999996</v>
      </c>
      <c r="V7" s="394" t="s">
        <v>283</v>
      </c>
      <c r="W7" s="390">
        <f t="shared" si="4"/>
        <v>-0.26700000000000002</v>
      </c>
      <c r="X7" s="391">
        <f t="shared" si="5"/>
        <v>0.13800000000000001</v>
      </c>
      <c r="Y7" s="394" t="s">
        <v>283</v>
      </c>
      <c r="Z7" s="390">
        <f t="shared" si="6"/>
        <v>-0.20800000000000007</v>
      </c>
      <c r="AA7" s="391">
        <f t="shared" si="7"/>
        <v>5.0000000000000044E-3</v>
      </c>
    </row>
    <row r="8" spans="1:27" x14ac:dyDescent="0.2">
      <c r="A8" s="395" t="s">
        <v>152</v>
      </c>
      <c r="B8" s="389">
        <v>0.80200000000000005</v>
      </c>
      <c r="C8" s="390">
        <v>0.65400000000000003</v>
      </c>
      <c r="D8" s="391">
        <v>0.54100000000000004</v>
      </c>
      <c r="E8" s="392">
        <v>0.93599999999999994</v>
      </c>
      <c r="F8" s="392">
        <v>0.60799999999999998</v>
      </c>
      <c r="G8" s="392">
        <v>0.30199999999999999</v>
      </c>
      <c r="H8" s="393">
        <v>0.78599999999999992</v>
      </c>
      <c r="I8" s="392">
        <v>0.52900000000000003</v>
      </c>
      <c r="J8" s="391">
        <v>0.67300000000000004</v>
      </c>
      <c r="K8" s="392">
        <v>1.0509999999999999</v>
      </c>
      <c r="L8" s="392">
        <v>0.83699999999999997</v>
      </c>
      <c r="M8" s="391">
        <v>0.82099999999999995</v>
      </c>
      <c r="O8" s="395" t="s">
        <v>152</v>
      </c>
      <c r="P8" s="394" t="s">
        <v>283</v>
      </c>
      <c r="Q8" s="390">
        <f t="shared" si="0"/>
        <v>-0.14800000000000002</v>
      </c>
      <c r="R8" s="391">
        <f t="shared" si="1"/>
        <v>-0.11299999999999999</v>
      </c>
      <c r="S8" s="394" t="s">
        <v>283</v>
      </c>
      <c r="T8" s="390">
        <f t="shared" si="2"/>
        <v>-0.32799999999999996</v>
      </c>
      <c r="U8" s="391">
        <f t="shared" si="3"/>
        <v>-0.30599999999999999</v>
      </c>
      <c r="V8" s="394" t="s">
        <v>283</v>
      </c>
      <c r="W8" s="390">
        <f t="shared" si="4"/>
        <v>-0.2569999999999999</v>
      </c>
      <c r="X8" s="391">
        <f t="shared" si="5"/>
        <v>0.14400000000000002</v>
      </c>
      <c r="Y8" s="394" t="s">
        <v>283</v>
      </c>
      <c r="Z8" s="390">
        <f t="shared" si="6"/>
        <v>-0.21399999999999997</v>
      </c>
      <c r="AA8" s="391">
        <f t="shared" si="7"/>
        <v>-1.6000000000000014E-2</v>
      </c>
    </row>
    <row r="9" spans="1:27" x14ac:dyDescent="0.2">
      <c r="A9" s="395" t="s">
        <v>134</v>
      </c>
      <c r="B9" s="389">
        <v>0.75700000000000001</v>
      </c>
      <c r="C9" s="390">
        <v>0.60099999999999998</v>
      </c>
      <c r="D9" s="391">
        <v>0.47299999999999998</v>
      </c>
      <c r="E9" s="392">
        <v>0.85099999999999998</v>
      </c>
      <c r="F9" s="392">
        <v>0.76100000000000001</v>
      </c>
      <c r="G9" s="392">
        <v>0.41</v>
      </c>
      <c r="H9" s="393">
        <v>0.72799999999999998</v>
      </c>
      <c r="I9" s="392">
        <v>0.46399999999999997</v>
      </c>
      <c r="J9" s="391">
        <v>0.61799999999999999</v>
      </c>
      <c r="K9" s="392">
        <v>0.96799999999999997</v>
      </c>
      <c r="L9" s="392">
        <v>0.81</v>
      </c>
      <c r="M9" s="391">
        <v>0.81100000000000005</v>
      </c>
      <c r="O9" s="395" t="s">
        <v>134</v>
      </c>
      <c r="P9" s="394" t="s">
        <v>283</v>
      </c>
      <c r="Q9" s="390">
        <f t="shared" si="0"/>
        <v>-0.15600000000000003</v>
      </c>
      <c r="R9" s="391">
        <f t="shared" si="1"/>
        <v>-0.128</v>
      </c>
      <c r="S9" s="394" t="s">
        <v>283</v>
      </c>
      <c r="T9" s="390">
        <f t="shared" si="2"/>
        <v>-8.9999999999999969E-2</v>
      </c>
      <c r="U9" s="391">
        <f t="shared" si="3"/>
        <v>-0.35100000000000003</v>
      </c>
      <c r="V9" s="394" t="s">
        <v>283</v>
      </c>
      <c r="W9" s="390">
        <f t="shared" si="4"/>
        <v>-0.26400000000000001</v>
      </c>
      <c r="X9" s="391">
        <f t="shared" si="5"/>
        <v>0.15400000000000003</v>
      </c>
      <c r="Y9" s="394" t="s">
        <v>283</v>
      </c>
      <c r="Z9" s="390">
        <f t="shared" si="6"/>
        <v>-0.15799999999999992</v>
      </c>
      <c r="AA9" s="391">
        <f t="shared" si="7"/>
        <v>1.0000000000000009E-3</v>
      </c>
    </row>
    <row r="10" spans="1:27" x14ac:dyDescent="0.2">
      <c r="A10" s="395" t="s">
        <v>135</v>
      </c>
      <c r="B10" s="389">
        <v>0.67799999999999994</v>
      </c>
      <c r="C10" s="390">
        <v>0.54200000000000004</v>
      </c>
      <c r="D10" s="391">
        <v>0.40600000000000003</v>
      </c>
      <c r="E10" s="392">
        <v>0.95900000000000007</v>
      </c>
      <c r="F10" s="392">
        <v>0.879</v>
      </c>
      <c r="G10" s="392">
        <v>0.441</v>
      </c>
      <c r="H10" s="393">
        <v>0.63800000000000001</v>
      </c>
      <c r="I10" s="392">
        <v>0.39600000000000002</v>
      </c>
      <c r="J10" s="391">
        <v>0.55700000000000005</v>
      </c>
      <c r="K10" s="392">
        <v>0.81900000000000006</v>
      </c>
      <c r="L10" s="392">
        <v>0.71399999999999997</v>
      </c>
      <c r="M10" s="391">
        <v>0.755</v>
      </c>
      <c r="O10" s="395" t="s">
        <v>135</v>
      </c>
      <c r="P10" s="394" t="s">
        <v>283</v>
      </c>
      <c r="Q10" s="390">
        <f t="shared" si="0"/>
        <v>-0.1359999999999999</v>
      </c>
      <c r="R10" s="391">
        <f t="shared" si="1"/>
        <v>-0.13600000000000001</v>
      </c>
      <c r="S10" s="394" t="s">
        <v>283</v>
      </c>
      <c r="T10" s="390">
        <f t="shared" si="2"/>
        <v>-8.0000000000000071E-2</v>
      </c>
      <c r="U10" s="391">
        <f t="shared" si="3"/>
        <v>-0.438</v>
      </c>
      <c r="V10" s="394" t="s">
        <v>283</v>
      </c>
      <c r="W10" s="390">
        <f t="shared" si="4"/>
        <v>-0.24199999999999999</v>
      </c>
      <c r="X10" s="391">
        <f t="shared" si="5"/>
        <v>0.16100000000000003</v>
      </c>
      <c r="Y10" s="394" t="s">
        <v>283</v>
      </c>
      <c r="Z10" s="390">
        <f t="shared" si="6"/>
        <v>-0.10500000000000009</v>
      </c>
      <c r="AA10" s="391">
        <f t="shared" si="7"/>
        <v>4.1000000000000036E-2</v>
      </c>
    </row>
    <row r="11" spans="1:27" x14ac:dyDescent="0.2">
      <c r="A11" s="395" t="s">
        <v>153</v>
      </c>
      <c r="B11" s="389">
        <v>0.60499999999999998</v>
      </c>
      <c r="C11" s="390">
        <v>0.45</v>
      </c>
      <c r="D11" s="391">
        <v>0.318</v>
      </c>
      <c r="E11" s="392">
        <v>0.93400000000000005</v>
      </c>
      <c r="F11" s="392">
        <v>0.70499999999999996</v>
      </c>
      <c r="G11" s="392">
        <v>0.46200000000000002</v>
      </c>
      <c r="H11" s="393">
        <v>0.55100000000000005</v>
      </c>
      <c r="I11" s="392">
        <v>0.31900000000000001</v>
      </c>
      <c r="J11" s="391">
        <v>0.47</v>
      </c>
      <c r="K11" s="392">
        <v>0.63700000000000001</v>
      </c>
      <c r="L11" s="392">
        <v>0.58499999999999996</v>
      </c>
      <c r="M11" s="391">
        <v>0.61499999999999999</v>
      </c>
      <c r="O11" s="395" t="s">
        <v>153</v>
      </c>
      <c r="P11" s="394" t="s">
        <v>283</v>
      </c>
      <c r="Q11" s="390">
        <f t="shared" si="0"/>
        <v>-0.15499999999999997</v>
      </c>
      <c r="R11" s="391">
        <f t="shared" si="1"/>
        <v>-0.13200000000000001</v>
      </c>
      <c r="S11" s="394" t="s">
        <v>283</v>
      </c>
      <c r="T11" s="390">
        <f t="shared" si="2"/>
        <v>-0.22900000000000009</v>
      </c>
      <c r="U11" s="391">
        <f t="shared" si="3"/>
        <v>-0.24299999999999994</v>
      </c>
      <c r="V11" s="394" t="s">
        <v>283</v>
      </c>
      <c r="W11" s="390">
        <f t="shared" si="4"/>
        <v>-0.23200000000000004</v>
      </c>
      <c r="X11" s="391">
        <f t="shared" si="5"/>
        <v>0.15099999999999997</v>
      </c>
      <c r="Y11" s="394" t="s">
        <v>283</v>
      </c>
      <c r="Z11" s="390">
        <f t="shared" si="6"/>
        <v>-5.2000000000000046E-2</v>
      </c>
      <c r="AA11" s="391">
        <f t="shared" si="7"/>
        <v>3.0000000000000027E-2</v>
      </c>
    </row>
    <row r="12" spans="1:27" x14ac:dyDescent="0.2">
      <c r="A12" s="395" t="s">
        <v>154</v>
      </c>
      <c r="B12" s="389">
        <v>0.52500000000000002</v>
      </c>
      <c r="C12" s="390">
        <v>0.36700000000000005</v>
      </c>
      <c r="D12" s="391">
        <v>0.307</v>
      </c>
      <c r="E12" s="392">
        <v>0.93599999999999994</v>
      </c>
      <c r="F12" s="392">
        <v>0.61599999999999999</v>
      </c>
      <c r="G12" s="392">
        <v>0.86699999999999999</v>
      </c>
      <c r="H12" s="393">
        <v>0.442</v>
      </c>
      <c r="I12" s="392">
        <v>0.252</v>
      </c>
      <c r="J12" s="391">
        <v>0.39300000000000002</v>
      </c>
      <c r="K12" s="392">
        <v>0.44799999999999995</v>
      </c>
      <c r="L12" s="392">
        <v>0.438</v>
      </c>
      <c r="M12" s="391">
        <v>0.45</v>
      </c>
      <c r="O12" s="395" t="s">
        <v>154</v>
      </c>
      <c r="P12" s="394" t="s">
        <v>283</v>
      </c>
      <c r="Q12" s="390">
        <f t="shared" si="0"/>
        <v>-0.15799999999999997</v>
      </c>
      <c r="R12" s="391">
        <f t="shared" si="1"/>
        <v>-6.0000000000000053E-2</v>
      </c>
      <c r="S12" s="394" t="s">
        <v>283</v>
      </c>
      <c r="T12" s="390">
        <f t="shared" si="2"/>
        <v>-0.31999999999999995</v>
      </c>
      <c r="U12" s="391">
        <f t="shared" si="3"/>
        <v>0.251</v>
      </c>
      <c r="V12" s="394" t="s">
        <v>283</v>
      </c>
      <c r="W12" s="390">
        <f t="shared" si="4"/>
        <v>-0.19</v>
      </c>
      <c r="X12" s="391">
        <f t="shared" si="5"/>
        <v>0.14100000000000001</v>
      </c>
      <c r="Y12" s="394" t="s">
        <v>283</v>
      </c>
      <c r="Z12" s="390">
        <f t="shared" si="6"/>
        <v>-9.9999999999999534E-3</v>
      </c>
      <c r="AA12" s="391">
        <f t="shared" si="7"/>
        <v>1.2000000000000011E-2</v>
      </c>
    </row>
    <row r="13" spans="1:27" x14ac:dyDescent="0.2">
      <c r="A13" s="395" t="s">
        <v>155</v>
      </c>
      <c r="B13" s="389">
        <v>0.47799999999999998</v>
      </c>
      <c r="C13" s="390">
        <v>0.26400000000000001</v>
      </c>
      <c r="D13" s="391">
        <v>0.23</v>
      </c>
      <c r="E13" s="392">
        <v>0.97499999999999998</v>
      </c>
      <c r="F13" s="392">
        <v>0.79200000000000004</v>
      </c>
      <c r="G13" s="392">
        <v>0.96199999999999997</v>
      </c>
      <c r="H13" s="393">
        <v>0.34399999999999997</v>
      </c>
      <c r="I13" s="392">
        <v>0.17</v>
      </c>
      <c r="J13" s="391">
        <v>0.28899999999999998</v>
      </c>
      <c r="K13" s="392">
        <v>0.27399999999999997</v>
      </c>
      <c r="L13" s="392">
        <v>0.28699999999999998</v>
      </c>
      <c r="M13" s="391">
        <v>0.32100000000000001</v>
      </c>
      <c r="O13" s="395" t="s">
        <v>155</v>
      </c>
      <c r="P13" s="394" t="s">
        <v>283</v>
      </c>
      <c r="Q13" s="390">
        <f t="shared" si="0"/>
        <v>-0.21399999999999997</v>
      </c>
      <c r="R13" s="391">
        <f t="shared" si="1"/>
        <v>-3.4000000000000002E-2</v>
      </c>
      <c r="S13" s="394" t="s">
        <v>283</v>
      </c>
      <c r="T13" s="390">
        <f t="shared" si="2"/>
        <v>-0.18299999999999994</v>
      </c>
      <c r="U13" s="391">
        <f t="shared" si="3"/>
        <v>0.16999999999999993</v>
      </c>
      <c r="V13" s="394" t="s">
        <v>283</v>
      </c>
      <c r="W13" s="390">
        <f t="shared" si="4"/>
        <v>-0.17399999999999996</v>
      </c>
      <c r="X13" s="391">
        <f t="shared" si="5"/>
        <v>0.11899999999999997</v>
      </c>
      <c r="Y13" s="394" t="s">
        <v>283</v>
      </c>
      <c r="Z13" s="390">
        <f t="shared" si="6"/>
        <v>1.3000000000000012E-2</v>
      </c>
      <c r="AA13" s="391">
        <f t="shared" si="7"/>
        <v>3.400000000000003E-2</v>
      </c>
    </row>
    <row r="14" spans="1:27" x14ac:dyDescent="0.2">
      <c r="A14" s="395" t="s">
        <v>136</v>
      </c>
      <c r="B14" s="389">
        <v>0.435</v>
      </c>
      <c r="C14" s="390">
        <v>0.19699999999999998</v>
      </c>
      <c r="D14" s="391">
        <v>0.22090000000000001</v>
      </c>
      <c r="E14" s="392">
        <v>0.879</v>
      </c>
      <c r="F14" s="392">
        <v>0.66200000000000003</v>
      </c>
      <c r="G14" s="392">
        <v>0.92900000000000005</v>
      </c>
      <c r="H14" s="393">
        <v>0.33700000000000002</v>
      </c>
      <c r="I14" s="392">
        <v>0.159</v>
      </c>
      <c r="J14" s="391">
        <v>0.27539999999999998</v>
      </c>
      <c r="K14" s="392">
        <v>0.27399999999999997</v>
      </c>
      <c r="L14" s="392">
        <v>0.24</v>
      </c>
      <c r="M14" s="391">
        <v>0.29020000000000001</v>
      </c>
      <c r="O14" s="395" t="s">
        <v>136</v>
      </c>
      <c r="P14" s="394" t="s">
        <v>283</v>
      </c>
      <c r="Q14" s="390">
        <f t="shared" si="0"/>
        <v>-0.23800000000000002</v>
      </c>
      <c r="R14" s="391">
        <f t="shared" si="1"/>
        <v>2.3900000000000032E-2</v>
      </c>
      <c r="S14" s="394" t="s">
        <v>283</v>
      </c>
      <c r="T14" s="390">
        <f t="shared" si="2"/>
        <v>-0.21699999999999997</v>
      </c>
      <c r="U14" s="391">
        <f t="shared" si="3"/>
        <v>0.26700000000000002</v>
      </c>
      <c r="V14" s="394" t="s">
        <v>283</v>
      </c>
      <c r="W14" s="390">
        <f t="shared" si="4"/>
        <v>-0.17800000000000002</v>
      </c>
      <c r="X14" s="391">
        <f t="shared" si="5"/>
        <v>0.11639999999999998</v>
      </c>
      <c r="Y14" s="394" t="s">
        <v>283</v>
      </c>
      <c r="Z14" s="390">
        <f t="shared" si="6"/>
        <v>-3.3999999999999975E-2</v>
      </c>
      <c r="AA14" s="391">
        <f t="shared" si="7"/>
        <v>5.0200000000000022E-2</v>
      </c>
    </row>
    <row r="15" spans="1:27" ht="12.75" thickBot="1" x14ac:dyDescent="0.25">
      <c r="A15" s="396" t="s">
        <v>156</v>
      </c>
      <c r="B15" s="397">
        <v>0.46299999999999997</v>
      </c>
      <c r="C15" s="398">
        <v>0.18100000000000002</v>
      </c>
      <c r="D15" s="399">
        <f>28.52/100</f>
        <v>0.28520000000000001</v>
      </c>
      <c r="E15" s="400">
        <v>0.82499999999999996</v>
      </c>
      <c r="F15" s="400">
        <v>0.52900000000000003</v>
      </c>
      <c r="G15" s="400">
        <f>89.37/100</f>
        <v>0.89370000000000005</v>
      </c>
      <c r="H15" s="401">
        <v>0.39100000000000001</v>
      </c>
      <c r="I15" s="400">
        <v>0.218</v>
      </c>
      <c r="J15" s="399">
        <f>36.81/100</f>
        <v>0.36810000000000004</v>
      </c>
      <c r="K15" s="400">
        <v>0.45799999999999996</v>
      </c>
      <c r="L15" s="400">
        <v>0.45700000000000002</v>
      </c>
      <c r="M15" s="399">
        <f>59.33/100</f>
        <v>0.59329999999999994</v>
      </c>
      <c r="O15" s="396" t="s">
        <v>156</v>
      </c>
      <c r="P15" s="402" t="s">
        <v>283</v>
      </c>
      <c r="Q15" s="398">
        <f t="shared" si="0"/>
        <v>-0.28199999999999992</v>
      </c>
      <c r="R15" s="399">
        <f t="shared" si="1"/>
        <v>0.10419999999999999</v>
      </c>
      <c r="S15" s="402" t="s">
        <v>283</v>
      </c>
      <c r="T15" s="398">
        <f t="shared" si="2"/>
        <v>-0.29599999999999993</v>
      </c>
      <c r="U15" s="399">
        <f t="shared" si="3"/>
        <v>0.36470000000000002</v>
      </c>
      <c r="V15" s="402" t="s">
        <v>283</v>
      </c>
      <c r="W15" s="398">
        <f t="shared" si="4"/>
        <v>-0.17300000000000001</v>
      </c>
      <c r="X15" s="399">
        <f t="shared" si="5"/>
        <v>0.15010000000000004</v>
      </c>
      <c r="Y15" s="402" t="s">
        <v>283</v>
      </c>
      <c r="Z15" s="398">
        <f t="shared" si="6"/>
        <v>-9.9999999999994538E-4</v>
      </c>
      <c r="AA15" s="399">
        <f t="shared" si="7"/>
        <v>0.13629999999999992</v>
      </c>
    </row>
    <row r="16" spans="1:27" x14ac:dyDescent="0.2"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</row>
    <row r="17" spans="1:27" x14ac:dyDescent="0.2">
      <c r="O17" s="403"/>
      <c r="P17" s="403"/>
      <c r="Q17" s="403"/>
      <c r="R17" s="403"/>
      <c r="S17" s="403"/>
      <c r="T17" s="403"/>
      <c r="U17" s="403"/>
      <c r="V17" s="403"/>
      <c r="W17" s="403"/>
      <c r="X17" s="403"/>
      <c r="Y17" s="403"/>
      <c r="Z17" s="403"/>
      <c r="AA17" s="403"/>
    </row>
    <row r="18" spans="1:27" ht="12.75" thickBot="1" x14ac:dyDescent="0.25">
      <c r="O18" s="403"/>
      <c r="P18" s="403"/>
      <c r="Q18" s="403"/>
      <c r="R18" s="403"/>
      <c r="S18" s="403"/>
      <c r="T18" s="403"/>
      <c r="U18" s="403"/>
      <c r="V18" s="403"/>
      <c r="W18" s="403"/>
      <c r="X18" s="403"/>
      <c r="Y18" s="403"/>
      <c r="Z18" s="403"/>
      <c r="AA18" s="403"/>
    </row>
    <row r="19" spans="1:27" ht="13.5" customHeight="1" thickBot="1" x14ac:dyDescent="0.25">
      <c r="A19" s="420" t="s">
        <v>286</v>
      </c>
      <c r="B19" s="421"/>
      <c r="C19" s="421"/>
      <c r="D19" s="421"/>
      <c r="E19" s="421"/>
      <c r="F19" s="421"/>
      <c r="G19" s="421"/>
      <c r="H19" s="421"/>
      <c r="I19" s="421"/>
      <c r="J19" s="421"/>
      <c r="K19" s="421"/>
      <c r="L19" s="421"/>
      <c r="M19" s="422"/>
      <c r="O19" s="420" t="s">
        <v>285</v>
      </c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2"/>
    </row>
    <row r="20" spans="1:27" ht="12.75" customHeight="1" x14ac:dyDescent="0.2">
      <c r="A20" s="383"/>
      <c r="B20" s="423" t="s">
        <v>137</v>
      </c>
      <c r="C20" s="424"/>
      <c r="D20" s="425"/>
      <c r="E20" s="423" t="s">
        <v>138</v>
      </c>
      <c r="F20" s="424"/>
      <c r="G20" s="425"/>
      <c r="H20" s="423" t="s">
        <v>142</v>
      </c>
      <c r="I20" s="424"/>
      <c r="J20" s="425"/>
      <c r="K20" s="423" t="s">
        <v>211</v>
      </c>
      <c r="L20" s="424"/>
      <c r="M20" s="425"/>
      <c r="O20" s="383"/>
      <c r="P20" s="423" t="s">
        <v>137</v>
      </c>
      <c r="Q20" s="424"/>
      <c r="R20" s="425"/>
      <c r="S20" s="423" t="s">
        <v>138</v>
      </c>
      <c r="T20" s="424"/>
      <c r="U20" s="425"/>
      <c r="V20" s="423" t="s">
        <v>142</v>
      </c>
      <c r="W20" s="424"/>
      <c r="X20" s="425"/>
      <c r="Y20" s="423" t="s">
        <v>211</v>
      </c>
      <c r="Z20" s="424"/>
      <c r="AA20" s="425"/>
    </row>
    <row r="21" spans="1:27" ht="12.75" thickBot="1" x14ac:dyDescent="0.25">
      <c r="A21" s="384"/>
      <c r="B21" s="385" t="s">
        <v>282</v>
      </c>
      <c r="C21" s="386" t="s">
        <v>267</v>
      </c>
      <c r="D21" s="387">
        <v>2000</v>
      </c>
      <c r="E21" s="385" t="s">
        <v>282</v>
      </c>
      <c r="F21" s="386" t="s">
        <v>267</v>
      </c>
      <c r="G21" s="387">
        <v>2000</v>
      </c>
      <c r="H21" s="385" t="s">
        <v>282</v>
      </c>
      <c r="I21" s="386" t="s">
        <v>267</v>
      </c>
      <c r="J21" s="387">
        <v>2000</v>
      </c>
      <c r="K21" s="385" t="s">
        <v>282</v>
      </c>
      <c r="L21" s="386" t="s">
        <v>267</v>
      </c>
      <c r="M21" s="387">
        <v>2000</v>
      </c>
      <c r="O21" s="384"/>
      <c r="P21" s="385" t="s">
        <v>282</v>
      </c>
      <c r="Q21" s="386" t="s">
        <v>267</v>
      </c>
      <c r="R21" s="387">
        <v>2000</v>
      </c>
      <c r="S21" s="385" t="s">
        <v>282</v>
      </c>
      <c r="T21" s="386" t="s">
        <v>267</v>
      </c>
      <c r="U21" s="387">
        <v>2000</v>
      </c>
      <c r="V21" s="385" t="s">
        <v>282</v>
      </c>
      <c r="W21" s="386" t="s">
        <v>267</v>
      </c>
      <c r="X21" s="387">
        <v>2000</v>
      </c>
      <c r="Y21" s="385" t="s">
        <v>282</v>
      </c>
      <c r="Z21" s="386" t="s">
        <v>267</v>
      </c>
      <c r="AA21" s="387">
        <v>2000</v>
      </c>
    </row>
    <row r="22" spans="1:27" x14ac:dyDescent="0.2">
      <c r="A22" s="388" t="s">
        <v>132</v>
      </c>
      <c r="B22" s="404">
        <v>0.78440334214096974</v>
      </c>
      <c r="C22" s="390">
        <v>1.1100000000000001</v>
      </c>
      <c r="D22" s="391">
        <v>0.97</v>
      </c>
      <c r="E22" s="404">
        <v>2.4441532918440876</v>
      </c>
      <c r="F22" s="390">
        <v>0.96</v>
      </c>
      <c r="G22" s="391">
        <v>0.82</v>
      </c>
      <c r="H22" s="404">
        <v>0.67376977152899831</v>
      </c>
      <c r="I22" s="390">
        <v>0.69</v>
      </c>
      <c r="J22" s="391">
        <v>0.89</v>
      </c>
      <c r="K22" s="404">
        <v>0.64361290322580644</v>
      </c>
      <c r="L22" s="390">
        <v>0.79</v>
      </c>
      <c r="M22" s="391">
        <v>1.42</v>
      </c>
      <c r="O22" s="388" t="s">
        <v>132</v>
      </c>
      <c r="P22" s="394" t="s">
        <v>283</v>
      </c>
      <c r="Q22" s="390">
        <f t="shared" ref="Q22:Q33" si="8">C22-B22</f>
        <v>0.32559665785903036</v>
      </c>
      <c r="R22" s="391">
        <f t="shared" ref="R22:R33" si="9">D22-C22</f>
        <v>-0.14000000000000012</v>
      </c>
      <c r="S22" s="394" t="s">
        <v>283</v>
      </c>
      <c r="T22" s="390">
        <f t="shared" ref="T22:T33" si="10">F22-E22</f>
        <v>-1.4841532918440876</v>
      </c>
      <c r="U22" s="391">
        <f t="shared" ref="U22:U33" si="11">G22-F22</f>
        <v>-0.14000000000000001</v>
      </c>
      <c r="V22" s="394" t="s">
        <v>283</v>
      </c>
      <c r="W22" s="390">
        <f t="shared" ref="W22:W33" si="12">I22-H22</f>
        <v>1.623022847100164E-2</v>
      </c>
      <c r="X22" s="391">
        <f t="shared" ref="X22:X33" si="13">J22-I22</f>
        <v>0.20000000000000007</v>
      </c>
      <c r="Y22" s="394" t="s">
        <v>283</v>
      </c>
      <c r="Z22" s="390">
        <f t="shared" ref="Z22:Z33" si="14">L22-K22</f>
        <v>0.14638709677419359</v>
      </c>
      <c r="AA22" s="391">
        <f t="shared" ref="AA22:AA33" si="15">M22-L22</f>
        <v>0.62999999999999989</v>
      </c>
    </row>
    <row r="23" spans="1:27" x14ac:dyDescent="0.2">
      <c r="A23" s="395" t="s">
        <v>150</v>
      </c>
      <c r="B23" s="404">
        <v>0.95914080498712562</v>
      </c>
      <c r="C23" s="390">
        <v>0.88</v>
      </c>
      <c r="D23" s="391">
        <v>1.1499999999999999</v>
      </c>
      <c r="E23" s="404">
        <v>2.3677381303450309</v>
      </c>
      <c r="F23" s="390">
        <v>1.41</v>
      </c>
      <c r="G23" s="391">
        <v>1.08</v>
      </c>
      <c r="H23" s="404">
        <v>0.64144290751288313</v>
      </c>
      <c r="I23" s="390">
        <v>0.34</v>
      </c>
      <c r="J23" s="391">
        <v>1.1000000000000001</v>
      </c>
      <c r="K23" s="404">
        <v>0.6601276068945815</v>
      </c>
      <c r="L23" s="390">
        <v>0.56000000000000005</v>
      </c>
      <c r="M23" s="391">
        <v>1.17</v>
      </c>
      <c r="O23" s="395" t="s">
        <v>150</v>
      </c>
      <c r="P23" s="394" t="s">
        <v>283</v>
      </c>
      <c r="Q23" s="390">
        <f t="shared" si="8"/>
        <v>-7.9140804987125613E-2</v>
      </c>
      <c r="R23" s="391">
        <f t="shared" si="9"/>
        <v>0.26999999999999991</v>
      </c>
      <c r="S23" s="394" t="s">
        <v>283</v>
      </c>
      <c r="T23" s="390">
        <f t="shared" si="10"/>
        <v>-0.95773813034503097</v>
      </c>
      <c r="U23" s="391">
        <f t="shared" si="11"/>
        <v>-0.32999999999999985</v>
      </c>
      <c r="V23" s="394" t="s">
        <v>283</v>
      </c>
      <c r="W23" s="390">
        <f t="shared" si="12"/>
        <v>-0.30144290751288311</v>
      </c>
      <c r="X23" s="391">
        <f t="shared" si="13"/>
        <v>0.76</v>
      </c>
      <c r="Y23" s="394" t="s">
        <v>283</v>
      </c>
      <c r="Z23" s="390">
        <f t="shared" si="14"/>
        <v>-0.10012760689458144</v>
      </c>
      <c r="AA23" s="391">
        <f t="shared" si="15"/>
        <v>0.60999999999999988</v>
      </c>
    </row>
    <row r="24" spans="1:27" x14ac:dyDescent="0.2">
      <c r="A24" s="395" t="s">
        <v>133</v>
      </c>
      <c r="B24" s="404">
        <v>0.98644337620177314</v>
      </c>
      <c r="C24" s="390">
        <v>1.0900000000000001</v>
      </c>
      <c r="D24" s="391">
        <v>1.0900000000000001</v>
      </c>
      <c r="E24" s="404">
        <v>2.5220588235294117</v>
      </c>
      <c r="F24" s="390">
        <v>1.03</v>
      </c>
      <c r="G24" s="391">
        <v>1.25</v>
      </c>
      <c r="H24" s="404">
        <v>0.72852233676975942</v>
      </c>
      <c r="I24" s="390">
        <v>0.89</v>
      </c>
      <c r="J24" s="391">
        <v>0.91</v>
      </c>
      <c r="K24" s="404">
        <v>0.77789602947196068</v>
      </c>
      <c r="L24" s="390">
        <v>0.79</v>
      </c>
      <c r="M24" s="391">
        <v>1.27</v>
      </c>
      <c r="O24" s="395" t="s">
        <v>133</v>
      </c>
      <c r="P24" s="394" t="s">
        <v>283</v>
      </c>
      <c r="Q24" s="390">
        <f t="shared" si="8"/>
        <v>0.10355662379822694</v>
      </c>
      <c r="R24" s="391">
        <f t="shared" si="9"/>
        <v>0</v>
      </c>
      <c r="S24" s="394" t="s">
        <v>283</v>
      </c>
      <c r="T24" s="390">
        <f t="shared" si="10"/>
        <v>-1.4920588235294117</v>
      </c>
      <c r="U24" s="391">
        <f t="shared" si="11"/>
        <v>0.21999999999999997</v>
      </c>
      <c r="V24" s="394" t="s">
        <v>283</v>
      </c>
      <c r="W24" s="390">
        <f t="shared" si="12"/>
        <v>0.1614776632302406</v>
      </c>
      <c r="X24" s="391">
        <f t="shared" si="13"/>
        <v>2.0000000000000018E-2</v>
      </c>
      <c r="Y24" s="394" t="s">
        <v>283</v>
      </c>
      <c r="Z24" s="390">
        <f t="shared" si="14"/>
        <v>1.2103970528039354E-2</v>
      </c>
      <c r="AA24" s="391">
        <f t="shared" si="15"/>
        <v>0.48</v>
      </c>
    </row>
    <row r="25" spans="1:27" x14ac:dyDescent="0.2">
      <c r="A25" s="395" t="s">
        <v>151</v>
      </c>
      <c r="B25" s="404">
        <v>1.1635944769623292</v>
      </c>
      <c r="C25" s="390">
        <v>0.81</v>
      </c>
      <c r="D25" s="391">
        <v>0.85</v>
      </c>
      <c r="E25" s="404">
        <v>5.5457216305545352</v>
      </c>
      <c r="F25" s="390">
        <v>1.33</v>
      </c>
      <c r="G25" s="391">
        <v>0.63</v>
      </c>
      <c r="H25" s="404">
        <v>0.47292035398230081</v>
      </c>
      <c r="I25" s="390">
        <v>0.59</v>
      </c>
      <c r="J25" s="391">
        <v>0.9</v>
      </c>
      <c r="K25" s="404">
        <v>0.54964539007092195</v>
      </c>
      <c r="L25" s="390">
        <v>0.65</v>
      </c>
      <c r="M25" s="391">
        <v>1.1100000000000001</v>
      </c>
      <c r="O25" s="395" t="s">
        <v>151</v>
      </c>
      <c r="P25" s="394" t="s">
        <v>283</v>
      </c>
      <c r="Q25" s="390">
        <f t="shared" si="8"/>
        <v>-0.35359447696232915</v>
      </c>
      <c r="R25" s="391">
        <f t="shared" si="9"/>
        <v>3.9999999999999925E-2</v>
      </c>
      <c r="S25" s="394" t="s">
        <v>283</v>
      </c>
      <c r="T25" s="390">
        <f t="shared" si="10"/>
        <v>-4.2157216305545351</v>
      </c>
      <c r="U25" s="391">
        <f t="shared" si="11"/>
        <v>-0.70000000000000007</v>
      </c>
      <c r="V25" s="394" t="s">
        <v>283</v>
      </c>
      <c r="W25" s="390">
        <f t="shared" si="12"/>
        <v>0.11707964601769916</v>
      </c>
      <c r="X25" s="391">
        <f t="shared" si="13"/>
        <v>0.31000000000000005</v>
      </c>
      <c r="Y25" s="394" t="s">
        <v>283</v>
      </c>
      <c r="Z25" s="390">
        <f t="shared" si="14"/>
        <v>0.10035460992907808</v>
      </c>
      <c r="AA25" s="391">
        <f t="shared" si="15"/>
        <v>0.46000000000000008</v>
      </c>
    </row>
    <row r="26" spans="1:27" x14ac:dyDescent="0.2">
      <c r="A26" s="395" t="s">
        <v>152</v>
      </c>
      <c r="B26" s="404">
        <v>1.1979923564413912</v>
      </c>
      <c r="C26" s="390">
        <v>0.85</v>
      </c>
      <c r="D26" s="391">
        <v>0.74</v>
      </c>
      <c r="E26" s="404">
        <v>2.5950503127549633</v>
      </c>
      <c r="F26" s="390">
        <v>0.56000000000000005</v>
      </c>
      <c r="G26" s="391">
        <v>0.55000000000000004</v>
      </c>
      <c r="H26" s="404">
        <v>0.56402221905711436</v>
      </c>
      <c r="I26" s="390">
        <v>0.56000000000000005</v>
      </c>
      <c r="J26" s="391">
        <v>0.73</v>
      </c>
      <c r="K26" s="404">
        <v>0.45353586928772027</v>
      </c>
      <c r="L26" s="390">
        <v>0.82</v>
      </c>
      <c r="M26" s="391">
        <v>1.1599999999999999</v>
      </c>
      <c r="O26" s="395" t="s">
        <v>152</v>
      </c>
      <c r="P26" s="394" t="s">
        <v>283</v>
      </c>
      <c r="Q26" s="390">
        <f t="shared" si="8"/>
        <v>-0.34799235644139126</v>
      </c>
      <c r="R26" s="391">
        <f t="shared" si="9"/>
        <v>-0.10999999999999999</v>
      </c>
      <c r="S26" s="394" t="s">
        <v>283</v>
      </c>
      <c r="T26" s="390">
        <f t="shared" si="10"/>
        <v>-2.0350503127549633</v>
      </c>
      <c r="U26" s="391">
        <f t="shared" si="11"/>
        <v>-1.0000000000000009E-2</v>
      </c>
      <c r="V26" s="394" t="s">
        <v>283</v>
      </c>
      <c r="W26" s="390">
        <f t="shared" si="12"/>
        <v>-4.0222190571143068E-3</v>
      </c>
      <c r="X26" s="391">
        <f t="shared" si="13"/>
        <v>0.16999999999999993</v>
      </c>
      <c r="Y26" s="394" t="s">
        <v>283</v>
      </c>
      <c r="Z26" s="390">
        <f t="shared" si="14"/>
        <v>0.36646413071227968</v>
      </c>
      <c r="AA26" s="391">
        <f t="shared" si="15"/>
        <v>0.33999999999999997</v>
      </c>
    </row>
    <row r="27" spans="1:27" x14ac:dyDescent="0.2">
      <c r="A27" s="395" t="s">
        <v>134</v>
      </c>
      <c r="B27" s="404">
        <v>1.0729862609885772</v>
      </c>
      <c r="C27" s="390">
        <v>0.92</v>
      </c>
      <c r="D27" s="391">
        <v>0.77</v>
      </c>
      <c r="E27" s="404">
        <v>0.74217857958438005</v>
      </c>
      <c r="F27" s="390">
        <v>1.17</v>
      </c>
      <c r="G27" s="391">
        <v>0.55000000000000004</v>
      </c>
      <c r="H27" s="404">
        <v>0.74460580912863061</v>
      </c>
      <c r="I27" s="390">
        <v>0.64</v>
      </c>
      <c r="J27" s="391">
        <v>0.76</v>
      </c>
      <c r="K27" s="404">
        <v>0.4190031152647975</v>
      </c>
      <c r="L27" s="390">
        <v>0.63</v>
      </c>
      <c r="M27" s="391">
        <v>0.83</v>
      </c>
      <c r="O27" s="395" t="s">
        <v>134</v>
      </c>
      <c r="P27" s="394" t="s">
        <v>283</v>
      </c>
      <c r="Q27" s="390">
        <f t="shared" si="8"/>
        <v>-0.15298626098857715</v>
      </c>
      <c r="R27" s="391">
        <f t="shared" si="9"/>
        <v>-0.15000000000000002</v>
      </c>
      <c r="S27" s="394" t="s">
        <v>283</v>
      </c>
      <c r="T27" s="390">
        <f t="shared" si="10"/>
        <v>0.42782142041561988</v>
      </c>
      <c r="U27" s="391">
        <f t="shared" si="11"/>
        <v>-0.61999999999999988</v>
      </c>
      <c r="V27" s="394" t="s">
        <v>283</v>
      </c>
      <c r="W27" s="390">
        <f t="shared" si="12"/>
        <v>-0.1046058091286306</v>
      </c>
      <c r="X27" s="391">
        <f t="shared" si="13"/>
        <v>0.12</v>
      </c>
      <c r="Y27" s="394" t="s">
        <v>283</v>
      </c>
      <c r="Z27" s="390">
        <f t="shared" si="14"/>
        <v>0.21099688473520251</v>
      </c>
      <c r="AA27" s="391">
        <f t="shared" si="15"/>
        <v>0.19999999999999996</v>
      </c>
    </row>
    <row r="28" spans="1:27" x14ac:dyDescent="0.2">
      <c r="A28" s="395" t="s">
        <v>135</v>
      </c>
      <c r="B28" s="404">
        <v>0.99291956617139976</v>
      </c>
      <c r="C28" s="390">
        <v>1.07</v>
      </c>
      <c r="D28" s="391">
        <v>0.86</v>
      </c>
      <c r="E28" s="404">
        <v>1.3745995423340964</v>
      </c>
      <c r="F28" s="390">
        <v>2.04</v>
      </c>
      <c r="G28" s="391">
        <v>0.92</v>
      </c>
      <c r="H28" s="404">
        <v>0.74454203262233376</v>
      </c>
      <c r="I28" s="390">
        <v>0.72</v>
      </c>
      <c r="J28" s="391">
        <v>0.78</v>
      </c>
      <c r="K28" s="404">
        <v>0.60728565082185693</v>
      </c>
      <c r="L28" s="390">
        <v>0.68</v>
      </c>
      <c r="M28" s="391">
        <v>0.89</v>
      </c>
      <c r="O28" s="395" t="s">
        <v>135</v>
      </c>
      <c r="P28" s="394" t="s">
        <v>283</v>
      </c>
      <c r="Q28" s="390">
        <f t="shared" si="8"/>
        <v>7.7080433828600303E-2</v>
      </c>
      <c r="R28" s="391">
        <f t="shared" si="9"/>
        <v>-0.21000000000000008</v>
      </c>
      <c r="S28" s="394" t="s">
        <v>283</v>
      </c>
      <c r="T28" s="390">
        <f t="shared" si="10"/>
        <v>0.66540045766590361</v>
      </c>
      <c r="U28" s="391">
        <f t="shared" si="11"/>
        <v>-1.1200000000000001</v>
      </c>
      <c r="V28" s="394" t="s">
        <v>283</v>
      </c>
      <c r="W28" s="390">
        <f t="shared" si="12"/>
        <v>-2.4542032622333787E-2</v>
      </c>
      <c r="X28" s="391">
        <f t="shared" si="13"/>
        <v>6.0000000000000053E-2</v>
      </c>
      <c r="Y28" s="394" t="s">
        <v>283</v>
      </c>
      <c r="Z28" s="390">
        <f t="shared" si="14"/>
        <v>7.2714349178143123E-2</v>
      </c>
      <c r="AA28" s="391">
        <f t="shared" si="15"/>
        <v>0.20999999999999996</v>
      </c>
    </row>
    <row r="29" spans="1:27" x14ac:dyDescent="0.2">
      <c r="A29" s="395" t="s">
        <v>153</v>
      </c>
      <c r="B29" s="404">
        <v>1.3348265895953757</v>
      </c>
      <c r="C29" s="390">
        <v>0.83</v>
      </c>
      <c r="D29" s="391">
        <v>0.97</v>
      </c>
      <c r="E29" s="404">
        <v>2.8206147323794384</v>
      </c>
      <c r="F29" s="390">
        <v>0.42</v>
      </c>
      <c r="G29" s="391">
        <v>0.67</v>
      </c>
      <c r="H29" s="404">
        <v>0.79508196721311475</v>
      </c>
      <c r="I29" s="390">
        <v>0.63</v>
      </c>
      <c r="J29" s="391">
        <v>0.73</v>
      </c>
      <c r="K29" s="404">
        <v>0.59532828282828287</v>
      </c>
      <c r="L29" s="390">
        <v>0.73</v>
      </c>
      <c r="M29" s="391">
        <v>0.97</v>
      </c>
      <c r="O29" s="395" t="s">
        <v>153</v>
      </c>
      <c r="P29" s="394" t="s">
        <v>283</v>
      </c>
      <c r="Q29" s="390">
        <f t="shared" si="8"/>
        <v>-0.50482658959537574</v>
      </c>
      <c r="R29" s="391">
        <f t="shared" si="9"/>
        <v>0.14000000000000001</v>
      </c>
      <c r="S29" s="394" t="s">
        <v>283</v>
      </c>
      <c r="T29" s="390">
        <f t="shared" si="10"/>
        <v>-2.4006147323794385</v>
      </c>
      <c r="U29" s="391">
        <f t="shared" si="11"/>
        <v>0.25000000000000006</v>
      </c>
      <c r="V29" s="394" t="s">
        <v>283</v>
      </c>
      <c r="W29" s="390">
        <f t="shared" si="12"/>
        <v>-0.16508196721311474</v>
      </c>
      <c r="X29" s="391">
        <f t="shared" si="13"/>
        <v>9.9999999999999978E-2</v>
      </c>
      <c r="Y29" s="394" t="s">
        <v>283</v>
      </c>
      <c r="Z29" s="390">
        <f t="shared" si="14"/>
        <v>0.13467171717171711</v>
      </c>
      <c r="AA29" s="391">
        <f t="shared" si="15"/>
        <v>0.24</v>
      </c>
    </row>
    <row r="30" spans="1:27" x14ac:dyDescent="0.2">
      <c r="A30" s="395" t="s">
        <v>154</v>
      </c>
      <c r="B30" s="404">
        <v>1.3790159189580316</v>
      </c>
      <c r="C30" s="390">
        <v>0.96</v>
      </c>
      <c r="D30" s="391">
        <v>0.95</v>
      </c>
      <c r="E30" s="404">
        <v>2.4120181405895691</v>
      </c>
      <c r="F30" s="390">
        <v>0.47</v>
      </c>
      <c r="G30" s="391">
        <v>2.1</v>
      </c>
      <c r="H30" s="404">
        <v>0.81163251817580961</v>
      </c>
      <c r="I30" s="390">
        <v>0.6</v>
      </c>
      <c r="J30" s="391">
        <v>0.83</v>
      </c>
      <c r="K30" s="404">
        <v>0.63967611336032393</v>
      </c>
      <c r="L30" s="390">
        <v>0.72</v>
      </c>
      <c r="M30" s="391">
        <v>0.88</v>
      </c>
      <c r="O30" s="395" t="s">
        <v>154</v>
      </c>
      <c r="P30" s="394" t="s">
        <v>283</v>
      </c>
      <c r="Q30" s="390">
        <f t="shared" si="8"/>
        <v>-0.41901591895803159</v>
      </c>
      <c r="R30" s="391">
        <f t="shared" si="9"/>
        <v>-1.0000000000000009E-2</v>
      </c>
      <c r="S30" s="394" t="s">
        <v>283</v>
      </c>
      <c r="T30" s="390">
        <f t="shared" si="10"/>
        <v>-1.9420181405895691</v>
      </c>
      <c r="U30" s="391">
        <f t="shared" si="11"/>
        <v>1.6300000000000001</v>
      </c>
      <c r="V30" s="394" t="s">
        <v>283</v>
      </c>
      <c r="W30" s="390">
        <f t="shared" si="12"/>
        <v>-0.21163251817580964</v>
      </c>
      <c r="X30" s="391">
        <f t="shared" si="13"/>
        <v>0.22999999999999998</v>
      </c>
      <c r="Y30" s="394" t="s">
        <v>283</v>
      </c>
      <c r="Z30" s="390">
        <f t="shared" si="14"/>
        <v>8.0323886639676045E-2</v>
      </c>
      <c r="AA30" s="391">
        <f t="shared" si="15"/>
        <v>0.16000000000000003</v>
      </c>
    </row>
    <row r="31" spans="1:27" x14ac:dyDescent="0.2">
      <c r="A31" s="395" t="s">
        <v>155</v>
      </c>
      <c r="B31" s="404">
        <v>1.7702588801926553</v>
      </c>
      <c r="C31" s="390">
        <v>0.61</v>
      </c>
      <c r="D31" s="391">
        <v>0.92</v>
      </c>
      <c r="E31" s="404">
        <v>2.9214370311883142</v>
      </c>
      <c r="F31" s="390">
        <v>1.1599999999999999</v>
      </c>
      <c r="G31" s="391">
        <v>1.84</v>
      </c>
      <c r="H31" s="404">
        <v>0.68044890726520957</v>
      </c>
      <c r="I31" s="390">
        <v>0.56999999999999995</v>
      </c>
      <c r="J31" s="391">
        <v>0.69</v>
      </c>
      <c r="K31" s="404">
        <v>0.66425470332850944</v>
      </c>
      <c r="L31" s="390">
        <v>0.8</v>
      </c>
      <c r="M31" s="391">
        <v>0.88</v>
      </c>
      <c r="O31" s="395" t="s">
        <v>155</v>
      </c>
      <c r="P31" s="394" t="s">
        <v>283</v>
      </c>
      <c r="Q31" s="390">
        <f t="shared" si="8"/>
        <v>-1.1602588801926554</v>
      </c>
      <c r="R31" s="391">
        <f t="shared" si="9"/>
        <v>0.31000000000000005</v>
      </c>
      <c r="S31" s="394" t="s">
        <v>283</v>
      </c>
      <c r="T31" s="390">
        <f t="shared" si="10"/>
        <v>-1.7614370311883143</v>
      </c>
      <c r="U31" s="391">
        <f t="shared" si="11"/>
        <v>0.68000000000000016</v>
      </c>
      <c r="V31" s="394" t="s">
        <v>283</v>
      </c>
      <c r="W31" s="390">
        <f t="shared" si="12"/>
        <v>-0.11044890726520962</v>
      </c>
      <c r="X31" s="391">
        <f t="shared" si="13"/>
        <v>0.12</v>
      </c>
      <c r="Y31" s="394" t="s">
        <v>283</v>
      </c>
      <c r="Z31" s="390">
        <f t="shared" si="14"/>
        <v>0.1357452966714906</v>
      </c>
      <c r="AA31" s="391">
        <f t="shared" si="15"/>
        <v>7.999999999999996E-2</v>
      </c>
    </row>
    <row r="32" spans="1:27" x14ac:dyDescent="0.2">
      <c r="A32" s="395" t="s">
        <v>136</v>
      </c>
      <c r="B32" s="404">
        <v>1.0076989702627273</v>
      </c>
      <c r="C32" s="390">
        <v>0.7</v>
      </c>
      <c r="D32" s="391">
        <v>1.0900000000000001</v>
      </c>
      <c r="E32" s="404">
        <v>0.96501384344324193</v>
      </c>
      <c r="F32" s="390">
        <v>0.57999999999999996</v>
      </c>
      <c r="G32" s="391">
        <v>0.85</v>
      </c>
      <c r="H32" s="404">
        <v>1.076007326007326</v>
      </c>
      <c r="I32" s="390">
        <v>0.75</v>
      </c>
      <c r="J32" s="391">
        <v>0.9</v>
      </c>
      <c r="K32" s="404">
        <v>0.76167400881057257</v>
      </c>
      <c r="L32" s="390">
        <v>0.93</v>
      </c>
      <c r="M32" s="391">
        <v>1.08</v>
      </c>
      <c r="O32" s="395" t="s">
        <v>136</v>
      </c>
      <c r="P32" s="394" t="s">
        <v>283</v>
      </c>
      <c r="Q32" s="390">
        <f t="shared" si="8"/>
        <v>-0.3076989702627273</v>
      </c>
      <c r="R32" s="391">
        <f t="shared" si="9"/>
        <v>0.39000000000000012</v>
      </c>
      <c r="S32" s="394" t="s">
        <v>283</v>
      </c>
      <c r="T32" s="390">
        <f t="shared" si="10"/>
        <v>-0.38501384344324197</v>
      </c>
      <c r="U32" s="391">
        <f t="shared" si="11"/>
        <v>0.27</v>
      </c>
      <c r="V32" s="394" t="s">
        <v>283</v>
      </c>
      <c r="W32" s="390">
        <f t="shared" si="12"/>
        <v>-0.32600732600732596</v>
      </c>
      <c r="X32" s="391">
        <f t="shared" si="13"/>
        <v>0.15000000000000002</v>
      </c>
      <c r="Y32" s="394" t="s">
        <v>283</v>
      </c>
      <c r="Z32" s="390">
        <f t="shared" si="14"/>
        <v>0.16832599118942748</v>
      </c>
      <c r="AA32" s="391">
        <f t="shared" si="15"/>
        <v>0.15000000000000002</v>
      </c>
    </row>
    <row r="33" spans="1:27" ht="12.75" thickBot="1" x14ac:dyDescent="0.25">
      <c r="A33" s="396" t="s">
        <v>156</v>
      </c>
      <c r="B33" s="405">
        <v>0.98114423851732468</v>
      </c>
      <c r="C33" s="398">
        <v>0.68</v>
      </c>
      <c r="D33" s="399">
        <v>1.07</v>
      </c>
      <c r="E33" s="405">
        <v>0.98477929984779289</v>
      </c>
      <c r="F33" s="398">
        <v>0.59</v>
      </c>
      <c r="G33" s="399">
        <v>0.78</v>
      </c>
      <c r="H33" s="405">
        <v>0.91911538855329167</v>
      </c>
      <c r="I33" s="398">
        <v>0.92</v>
      </c>
      <c r="J33" s="399">
        <v>1.07</v>
      </c>
      <c r="K33" s="405">
        <v>0.84423817070409779</v>
      </c>
      <c r="L33" s="398">
        <v>1.17</v>
      </c>
      <c r="M33" s="399">
        <v>1.35</v>
      </c>
      <c r="O33" s="396" t="s">
        <v>156</v>
      </c>
      <c r="P33" s="402" t="s">
        <v>283</v>
      </c>
      <c r="Q33" s="398">
        <f t="shared" si="8"/>
        <v>-0.30114423851732464</v>
      </c>
      <c r="R33" s="399">
        <f t="shared" si="9"/>
        <v>0.39</v>
      </c>
      <c r="S33" s="402" t="s">
        <v>283</v>
      </c>
      <c r="T33" s="398">
        <f t="shared" si="10"/>
        <v>-0.39477929984779292</v>
      </c>
      <c r="U33" s="399">
        <f t="shared" si="11"/>
        <v>0.19000000000000006</v>
      </c>
      <c r="V33" s="402" t="s">
        <v>283</v>
      </c>
      <c r="W33" s="398">
        <f t="shared" si="12"/>
        <v>8.8461144670837211E-4</v>
      </c>
      <c r="X33" s="399">
        <f t="shared" si="13"/>
        <v>0.15000000000000002</v>
      </c>
      <c r="Y33" s="402" t="s">
        <v>283</v>
      </c>
      <c r="Z33" s="398">
        <f t="shared" si="14"/>
        <v>0.32576182929590214</v>
      </c>
      <c r="AA33" s="399">
        <f t="shared" si="15"/>
        <v>0.18000000000000016</v>
      </c>
    </row>
    <row r="34" spans="1:27" x14ac:dyDescent="0.2">
      <c r="O34" s="403"/>
      <c r="P34" s="403"/>
      <c r="Q34" s="403"/>
      <c r="R34" s="403"/>
      <c r="S34" s="403"/>
      <c r="T34" s="403"/>
      <c r="U34" s="403"/>
      <c r="V34" s="403"/>
      <c r="W34" s="403"/>
      <c r="X34" s="403"/>
      <c r="Y34" s="403"/>
      <c r="Z34" s="403"/>
      <c r="AA34" s="403"/>
    </row>
    <row r="35" spans="1:27" x14ac:dyDescent="0.2">
      <c r="O35" s="403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403"/>
    </row>
    <row r="36" spans="1:27" x14ac:dyDescent="0.2"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403"/>
      <c r="AA36" s="403"/>
    </row>
    <row r="37" spans="1:27" x14ac:dyDescent="0.2">
      <c r="O37" s="403"/>
      <c r="P37" s="403"/>
      <c r="Q37" s="403"/>
      <c r="R37" s="403"/>
      <c r="S37" s="403"/>
      <c r="T37" s="403"/>
      <c r="U37" s="403"/>
      <c r="V37" s="403"/>
      <c r="W37" s="403"/>
      <c r="X37" s="403"/>
      <c r="Y37" s="403"/>
      <c r="Z37" s="403"/>
      <c r="AA37" s="403"/>
    </row>
  </sheetData>
  <mergeCells count="20">
    <mergeCell ref="O1:AA1"/>
    <mergeCell ref="A1:M1"/>
    <mergeCell ref="P20:R20"/>
    <mergeCell ref="S20:U20"/>
    <mergeCell ref="V20:X20"/>
    <mergeCell ref="Y20:AA20"/>
    <mergeCell ref="B20:D20"/>
    <mergeCell ref="E20:G20"/>
    <mergeCell ref="H20:J20"/>
    <mergeCell ref="K20:M20"/>
    <mergeCell ref="O19:AA19"/>
    <mergeCell ref="B2:D2"/>
    <mergeCell ref="E2:G2"/>
    <mergeCell ref="H2:J2"/>
    <mergeCell ref="K2:M2"/>
    <mergeCell ref="P2:R2"/>
    <mergeCell ref="A19:M19"/>
    <mergeCell ref="S2:U2"/>
    <mergeCell ref="V2:X2"/>
    <mergeCell ref="Y2:AA2"/>
  </mergeCells>
  <conditionalFormatting sqref="C22:D33 F22:G33 I22:J33 L22:M33 Q22:R33 T22:U33 W22:X33 Z22:AA33 Q4:R15 T4:U15 W4:X15 Z4:AA15">
    <cfRule type="cellIs" dxfId="0" priority="1" stopIfTrue="1" operator="lessThan">
      <formula>0</formula>
    </cfRule>
  </conditionalFormatting>
  <pageMargins left="0.5" right="0.5" top="0.5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E5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2.75" x14ac:dyDescent="0.2"/>
  <cols>
    <col min="1" max="1" width="9.42578125" style="32" customWidth="1"/>
    <col min="2" max="2" width="10.85546875" style="32" customWidth="1"/>
    <col min="3" max="3" width="9.140625" style="32"/>
    <col min="4" max="4" width="9.140625" style="33"/>
    <col min="5" max="9" width="9.140625" style="32"/>
    <col min="10" max="10" width="9.140625" style="33"/>
    <col min="11" max="11" width="9.5703125" style="32" customWidth="1"/>
    <col min="12" max="15" width="9.140625" style="32"/>
    <col min="16" max="18" width="9.140625" style="33"/>
    <col min="19" max="26" width="9.140625" style="32"/>
    <col min="27" max="27" width="10.140625" style="32" customWidth="1"/>
    <col min="28" max="28" width="10.5703125" style="32" customWidth="1"/>
    <col min="29" max="30" width="12.140625" style="32" customWidth="1"/>
    <col min="31" max="31" width="10.5703125" style="32" customWidth="1"/>
    <col min="32" max="16384" width="9.140625" style="32"/>
  </cols>
  <sheetData>
    <row r="1" spans="1:25" x14ac:dyDescent="0.2">
      <c r="B1" s="429" t="s">
        <v>137</v>
      </c>
      <c r="C1" s="430"/>
      <c r="D1" s="430"/>
      <c r="E1" s="430"/>
      <c r="F1" s="430"/>
      <c r="G1" s="431"/>
      <c r="H1" s="429" t="s">
        <v>138</v>
      </c>
      <c r="I1" s="430"/>
      <c r="J1" s="430"/>
      <c r="K1" s="430"/>
      <c r="L1" s="430"/>
      <c r="M1" s="431"/>
      <c r="N1" s="429" t="s">
        <v>142</v>
      </c>
      <c r="O1" s="430"/>
      <c r="P1" s="430"/>
      <c r="Q1" s="430"/>
      <c r="R1" s="430"/>
      <c r="S1" s="431"/>
      <c r="T1" s="429" t="s">
        <v>211</v>
      </c>
      <c r="U1" s="430"/>
      <c r="V1" s="430"/>
      <c r="W1" s="430"/>
      <c r="X1" s="430"/>
      <c r="Y1" s="431"/>
    </row>
    <row r="2" spans="1:25" ht="13.5" thickBot="1" x14ac:dyDescent="0.25">
      <c r="B2" s="38" t="s">
        <v>208</v>
      </c>
      <c r="C2" s="39" t="s">
        <v>209</v>
      </c>
      <c r="D2" s="40" t="s">
        <v>210</v>
      </c>
      <c r="E2" s="39" t="s">
        <v>264</v>
      </c>
      <c r="F2" s="39" t="s">
        <v>265</v>
      </c>
      <c r="G2" s="41" t="s">
        <v>266</v>
      </c>
      <c r="H2" s="38" t="s">
        <v>208</v>
      </c>
      <c r="I2" s="39" t="s">
        <v>209</v>
      </c>
      <c r="J2" s="40" t="s">
        <v>210</v>
      </c>
      <c r="K2" s="39" t="s">
        <v>264</v>
      </c>
      <c r="L2" s="39" t="s">
        <v>265</v>
      </c>
      <c r="M2" s="41" t="s">
        <v>266</v>
      </c>
      <c r="N2" s="38" t="s">
        <v>208</v>
      </c>
      <c r="O2" s="39" t="s">
        <v>209</v>
      </c>
      <c r="P2" s="40" t="s">
        <v>210</v>
      </c>
      <c r="Q2" s="39" t="s">
        <v>264</v>
      </c>
      <c r="R2" s="39" t="s">
        <v>265</v>
      </c>
      <c r="S2" s="41" t="s">
        <v>266</v>
      </c>
      <c r="T2" s="38" t="s">
        <v>208</v>
      </c>
      <c r="U2" s="39" t="s">
        <v>209</v>
      </c>
      <c r="V2" s="40" t="s">
        <v>210</v>
      </c>
      <c r="W2" s="39" t="s">
        <v>264</v>
      </c>
      <c r="X2" s="39" t="s">
        <v>265</v>
      </c>
      <c r="Y2" s="41" t="s">
        <v>266</v>
      </c>
    </row>
    <row r="3" spans="1:25" hidden="1" x14ac:dyDescent="0.2">
      <c r="A3" s="34">
        <v>36100</v>
      </c>
      <c r="B3" s="32">
        <v>20887</v>
      </c>
      <c r="C3" s="35">
        <v>1.01</v>
      </c>
      <c r="D3" s="33">
        <v>0.43200000000000005</v>
      </c>
      <c r="I3" s="35"/>
      <c r="N3" s="32">
        <v>5895</v>
      </c>
      <c r="O3" s="35">
        <v>1.08</v>
      </c>
      <c r="P3" s="33">
        <v>0.33700000000000002</v>
      </c>
      <c r="U3" s="35"/>
      <c r="V3" s="33"/>
    </row>
    <row r="4" spans="1:25" hidden="1" x14ac:dyDescent="0.2">
      <c r="A4" s="34">
        <v>36130</v>
      </c>
      <c r="B4" s="32">
        <v>30440</v>
      </c>
      <c r="C4" s="35">
        <v>0.93</v>
      </c>
      <c r="D4" s="33">
        <v>0.46299999999999997</v>
      </c>
      <c r="I4" s="35"/>
      <c r="N4" s="32">
        <v>8977</v>
      </c>
      <c r="O4" s="35">
        <v>0.92</v>
      </c>
      <c r="P4" s="33">
        <v>0.39100000000000001</v>
      </c>
      <c r="U4" s="35"/>
      <c r="V4" s="33"/>
    </row>
    <row r="5" spans="1:25" x14ac:dyDescent="0.2">
      <c r="A5" s="34">
        <v>36161</v>
      </c>
      <c r="B5" s="90">
        <v>49147</v>
      </c>
      <c r="C5" s="35">
        <v>1.1100000000000001</v>
      </c>
      <c r="D5" s="33">
        <v>0.56799999999999995</v>
      </c>
      <c r="E5" s="32">
        <v>56.21</v>
      </c>
      <c r="F5" s="32">
        <f>E5</f>
        <v>56.21</v>
      </c>
      <c r="G5" s="32">
        <f>E5</f>
        <v>56.21</v>
      </c>
      <c r="H5" s="90">
        <v>2937</v>
      </c>
      <c r="I5" s="35">
        <v>0.96</v>
      </c>
      <c r="J5" s="33">
        <v>0.79200000000000004</v>
      </c>
      <c r="K5" s="32">
        <v>56.21</v>
      </c>
      <c r="L5" s="32">
        <f>K5</f>
        <v>56.21</v>
      </c>
      <c r="M5" s="32">
        <f>K5</f>
        <v>56.21</v>
      </c>
      <c r="N5" s="90">
        <v>9393</v>
      </c>
      <c r="O5" s="35">
        <v>0.69</v>
      </c>
      <c r="P5" s="33">
        <v>0.44400000000000001</v>
      </c>
      <c r="Q5" s="32">
        <v>39.49</v>
      </c>
      <c r="R5" s="32">
        <f>Q5</f>
        <v>39.49</v>
      </c>
      <c r="S5" s="32">
        <f>Q5</f>
        <v>39.49</v>
      </c>
      <c r="T5" s="90">
        <v>6138</v>
      </c>
      <c r="U5" s="35">
        <v>0.79</v>
      </c>
      <c r="V5" s="33">
        <v>0.74199999999999999</v>
      </c>
      <c r="W5" s="32">
        <v>39.49</v>
      </c>
      <c r="X5" s="32">
        <f>W5</f>
        <v>39.49</v>
      </c>
      <c r="Y5" s="32">
        <f>W5</f>
        <v>39.49</v>
      </c>
    </row>
    <row r="6" spans="1:25" x14ac:dyDescent="0.2">
      <c r="A6" s="34">
        <v>36192</v>
      </c>
      <c r="B6" s="90">
        <v>41601</v>
      </c>
      <c r="C6" s="35">
        <v>0.88</v>
      </c>
      <c r="D6" s="33">
        <v>0.622</v>
      </c>
      <c r="E6" s="32">
        <v>50.05</v>
      </c>
      <c r="F6" s="32">
        <f t="shared" ref="F6:F24" si="0">E6</f>
        <v>50.05</v>
      </c>
      <c r="G6" s="32">
        <f t="shared" ref="G6:G24" si="1">E6</f>
        <v>50.05</v>
      </c>
      <c r="H6" s="90">
        <v>4771</v>
      </c>
      <c r="I6" s="35">
        <v>1.41</v>
      </c>
      <c r="J6" s="33">
        <v>0.84399999999999997</v>
      </c>
      <c r="K6" s="32">
        <v>50.05</v>
      </c>
      <c r="L6" s="32">
        <f t="shared" ref="L6:L24" si="2">K6</f>
        <v>50.05</v>
      </c>
      <c r="M6" s="32">
        <f t="shared" ref="M6:M24" si="3">K6</f>
        <v>50.05</v>
      </c>
      <c r="N6" s="90">
        <v>4989</v>
      </c>
      <c r="O6" s="35">
        <v>0.34</v>
      </c>
      <c r="P6" s="33">
        <v>0.42599999999999999</v>
      </c>
      <c r="Q6" s="32">
        <v>26.07</v>
      </c>
      <c r="R6" s="32">
        <f t="shared" ref="R6:R24" si="4">Q6</f>
        <v>26.07</v>
      </c>
      <c r="S6" s="32">
        <f t="shared" ref="S6:S24" si="5">Q6</f>
        <v>26.07</v>
      </c>
      <c r="T6" s="90">
        <v>5882</v>
      </c>
      <c r="U6" s="35">
        <v>0.56000000000000005</v>
      </c>
      <c r="V6" s="33">
        <v>0.80200000000000005</v>
      </c>
      <c r="W6" s="32">
        <v>26.07</v>
      </c>
      <c r="X6" s="32">
        <f t="shared" ref="X6:X24" si="6">W6</f>
        <v>26.07</v>
      </c>
      <c r="Y6" s="32">
        <f t="shared" ref="Y6:Y24" si="7">W6</f>
        <v>26.07</v>
      </c>
    </row>
    <row r="7" spans="1:25" x14ac:dyDescent="0.2">
      <c r="A7" s="34">
        <v>36220</v>
      </c>
      <c r="B7" s="90">
        <v>48054</v>
      </c>
      <c r="C7" s="35">
        <v>1.0900000000000001</v>
      </c>
      <c r="D7" s="33">
        <v>0.71</v>
      </c>
      <c r="E7" s="32">
        <v>46.78</v>
      </c>
      <c r="F7" s="32">
        <f t="shared" si="0"/>
        <v>46.78</v>
      </c>
      <c r="G7" s="32">
        <f t="shared" si="1"/>
        <v>46.78</v>
      </c>
      <c r="H7" s="90">
        <v>3215</v>
      </c>
      <c r="I7" s="35">
        <v>1.03</v>
      </c>
      <c r="J7" s="33">
        <v>0.749</v>
      </c>
      <c r="K7" s="32">
        <v>46.78</v>
      </c>
      <c r="L7" s="32">
        <f t="shared" si="2"/>
        <v>46.78</v>
      </c>
      <c r="M7" s="32">
        <f t="shared" si="3"/>
        <v>46.78</v>
      </c>
      <c r="N7" s="90">
        <v>12559</v>
      </c>
      <c r="O7" s="35">
        <v>0.89</v>
      </c>
      <c r="P7" s="33">
        <v>0.58599999999999997</v>
      </c>
      <c r="Q7" s="32">
        <v>28.48</v>
      </c>
      <c r="R7" s="32">
        <f t="shared" si="4"/>
        <v>28.48</v>
      </c>
      <c r="S7" s="32">
        <f t="shared" si="5"/>
        <v>28.48</v>
      </c>
      <c r="T7" s="90">
        <v>9633</v>
      </c>
      <c r="U7" s="35">
        <v>0.79</v>
      </c>
      <c r="V7" s="33">
        <v>0.81</v>
      </c>
      <c r="W7" s="32">
        <v>28.48</v>
      </c>
      <c r="X7" s="32">
        <f t="shared" si="6"/>
        <v>28.48</v>
      </c>
      <c r="Y7" s="32">
        <f t="shared" si="7"/>
        <v>28.48</v>
      </c>
    </row>
    <row r="8" spans="1:25" x14ac:dyDescent="0.2">
      <c r="A8" s="34">
        <v>36251</v>
      </c>
      <c r="B8" s="90">
        <v>26652</v>
      </c>
      <c r="C8" s="35">
        <v>0.81</v>
      </c>
      <c r="D8" s="33">
        <v>0.69799999999999995</v>
      </c>
      <c r="E8" s="32">
        <v>43.89</v>
      </c>
      <c r="F8" s="32">
        <f t="shared" si="0"/>
        <v>43.89</v>
      </c>
      <c r="G8" s="32">
        <f t="shared" si="1"/>
        <v>43.89</v>
      </c>
      <c r="H8" s="90">
        <v>3615</v>
      </c>
      <c r="I8" s="35">
        <v>1.33</v>
      </c>
      <c r="J8" s="33">
        <v>0.72699999999999998</v>
      </c>
      <c r="K8" s="32">
        <v>43.89</v>
      </c>
      <c r="L8" s="32">
        <f t="shared" si="2"/>
        <v>43.89</v>
      </c>
      <c r="M8" s="32">
        <f t="shared" si="3"/>
        <v>43.89</v>
      </c>
      <c r="N8" s="90">
        <v>6592</v>
      </c>
      <c r="O8" s="35">
        <v>0.59</v>
      </c>
      <c r="P8" s="33">
        <v>0.57399999999999995</v>
      </c>
      <c r="Q8" s="32">
        <v>26.91</v>
      </c>
      <c r="R8" s="32">
        <f t="shared" si="4"/>
        <v>26.91</v>
      </c>
      <c r="S8" s="32">
        <f t="shared" si="5"/>
        <v>26.91</v>
      </c>
      <c r="T8" s="90">
        <v>7834</v>
      </c>
      <c r="U8" s="35">
        <v>0.65</v>
      </c>
      <c r="V8" s="33">
        <v>0.83199999999999996</v>
      </c>
      <c r="W8" s="32">
        <v>26.91</v>
      </c>
      <c r="X8" s="32">
        <f t="shared" si="6"/>
        <v>26.91</v>
      </c>
      <c r="Y8" s="32">
        <f t="shared" si="7"/>
        <v>26.91</v>
      </c>
    </row>
    <row r="9" spans="1:25" x14ac:dyDescent="0.2">
      <c r="A9" s="34">
        <v>36281</v>
      </c>
      <c r="B9" s="90">
        <v>20671</v>
      </c>
      <c r="C9" s="35">
        <v>0.85</v>
      </c>
      <c r="D9" s="33">
        <v>0.65400000000000003</v>
      </c>
      <c r="E9" s="32">
        <v>48.63</v>
      </c>
      <c r="F9" s="32">
        <f t="shared" si="0"/>
        <v>48.63</v>
      </c>
      <c r="G9" s="32">
        <f t="shared" si="1"/>
        <v>48.63</v>
      </c>
      <c r="H9" s="90">
        <v>2055</v>
      </c>
      <c r="I9" s="35">
        <v>0.56000000000000005</v>
      </c>
      <c r="J9" s="33">
        <v>0.60799999999999998</v>
      </c>
      <c r="K9" s="32">
        <v>48.63</v>
      </c>
      <c r="L9" s="32">
        <f t="shared" si="2"/>
        <v>48.63</v>
      </c>
      <c r="M9" s="32">
        <f t="shared" si="3"/>
        <v>48.63</v>
      </c>
      <c r="N9" s="90">
        <v>3859</v>
      </c>
      <c r="O9" s="35">
        <v>0.56000000000000005</v>
      </c>
      <c r="P9" s="33">
        <v>0.52900000000000003</v>
      </c>
      <c r="Q9" s="32">
        <v>30.95</v>
      </c>
      <c r="R9" s="32">
        <f t="shared" si="4"/>
        <v>30.95</v>
      </c>
      <c r="S9" s="32">
        <f t="shared" si="5"/>
        <v>30.95</v>
      </c>
      <c r="T9" s="90">
        <v>6424</v>
      </c>
      <c r="U9" s="35">
        <v>0.82</v>
      </c>
      <c r="V9" s="33">
        <v>0.83699999999999997</v>
      </c>
      <c r="W9" s="32">
        <v>30.95</v>
      </c>
      <c r="X9" s="32">
        <f t="shared" si="6"/>
        <v>30.95</v>
      </c>
      <c r="Y9" s="32">
        <f t="shared" si="7"/>
        <v>30.95</v>
      </c>
    </row>
    <row r="10" spans="1:25" x14ac:dyDescent="0.2">
      <c r="A10" s="34">
        <v>36312</v>
      </c>
      <c r="B10" s="90">
        <v>19246</v>
      </c>
      <c r="C10" s="35">
        <v>0.92</v>
      </c>
      <c r="D10" s="33">
        <v>0.60099999999999998</v>
      </c>
      <c r="E10" s="32">
        <v>49.99</v>
      </c>
      <c r="F10" s="32">
        <f t="shared" si="0"/>
        <v>49.99</v>
      </c>
      <c r="G10" s="32">
        <f t="shared" si="1"/>
        <v>49.99</v>
      </c>
      <c r="H10" s="90">
        <v>5102</v>
      </c>
      <c r="I10" s="35">
        <v>1.17</v>
      </c>
      <c r="J10" s="33">
        <v>0.76100000000000001</v>
      </c>
      <c r="K10" s="32">
        <v>49.99</v>
      </c>
      <c r="L10" s="32">
        <f t="shared" si="2"/>
        <v>49.99</v>
      </c>
      <c r="M10" s="32">
        <f t="shared" si="3"/>
        <v>49.99</v>
      </c>
      <c r="N10" s="90">
        <v>3037</v>
      </c>
      <c r="O10" s="35">
        <v>0.64</v>
      </c>
      <c r="P10" s="33">
        <v>0.46399999999999997</v>
      </c>
      <c r="Q10" s="32">
        <v>45.24</v>
      </c>
      <c r="R10" s="32">
        <f t="shared" si="4"/>
        <v>45.24</v>
      </c>
      <c r="S10" s="32">
        <f t="shared" si="5"/>
        <v>45.24</v>
      </c>
      <c r="T10" s="90">
        <v>2409</v>
      </c>
      <c r="U10" s="35">
        <v>0.63</v>
      </c>
      <c r="V10" s="33">
        <v>0.81</v>
      </c>
      <c r="W10" s="32">
        <v>45.24</v>
      </c>
      <c r="X10" s="32">
        <f t="shared" si="6"/>
        <v>45.24</v>
      </c>
      <c r="Y10" s="32">
        <f t="shared" si="7"/>
        <v>45.24</v>
      </c>
    </row>
    <row r="11" spans="1:25" x14ac:dyDescent="0.2">
      <c r="A11" s="34">
        <v>36342</v>
      </c>
      <c r="B11" s="90">
        <v>18391</v>
      </c>
      <c r="C11" s="35">
        <v>1.07</v>
      </c>
      <c r="D11" s="33">
        <v>0.54200000000000004</v>
      </c>
      <c r="E11" s="32">
        <v>61.72</v>
      </c>
      <c r="F11" s="32">
        <f t="shared" si="0"/>
        <v>61.72</v>
      </c>
      <c r="G11" s="32">
        <f t="shared" si="1"/>
        <v>61.72</v>
      </c>
      <c r="H11" s="90">
        <v>8920</v>
      </c>
      <c r="I11" s="35">
        <v>2.04</v>
      </c>
      <c r="J11" s="33">
        <v>0.879</v>
      </c>
      <c r="K11" s="32">
        <v>61.72</v>
      </c>
      <c r="L11" s="32">
        <f t="shared" si="2"/>
        <v>61.72</v>
      </c>
      <c r="M11" s="32">
        <f t="shared" si="3"/>
        <v>61.72</v>
      </c>
      <c r="N11" s="90">
        <v>2856</v>
      </c>
      <c r="O11" s="35">
        <v>0.72</v>
      </c>
      <c r="P11" s="33">
        <v>0.39600000000000002</v>
      </c>
      <c r="Q11" s="32">
        <v>38.020000000000003</v>
      </c>
      <c r="R11" s="32">
        <f t="shared" si="4"/>
        <v>38.020000000000003</v>
      </c>
      <c r="S11" s="32">
        <f t="shared" si="5"/>
        <v>38.020000000000003</v>
      </c>
      <c r="T11" s="90">
        <v>1527</v>
      </c>
      <c r="U11" s="35">
        <v>0.68</v>
      </c>
      <c r="V11" s="33">
        <v>0.71399999999999997</v>
      </c>
      <c r="W11" s="32">
        <v>38.020000000000003</v>
      </c>
      <c r="X11" s="32">
        <f t="shared" si="6"/>
        <v>38.020000000000003</v>
      </c>
      <c r="Y11" s="32">
        <f t="shared" si="7"/>
        <v>38.020000000000003</v>
      </c>
    </row>
    <row r="12" spans="1:25" x14ac:dyDescent="0.2">
      <c r="A12" s="34">
        <v>36373</v>
      </c>
      <c r="B12" s="90">
        <v>11889</v>
      </c>
      <c r="C12" s="35">
        <v>0.83</v>
      </c>
      <c r="D12" s="33">
        <v>0.45</v>
      </c>
      <c r="E12" s="32">
        <v>49.62</v>
      </c>
      <c r="F12" s="32">
        <f t="shared" si="0"/>
        <v>49.62</v>
      </c>
      <c r="G12" s="32">
        <f t="shared" si="1"/>
        <v>49.62</v>
      </c>
      <c r="H12" s="90">
        <v>1869</v>
      </c>
      <c r="I12" s="35">
        <v>0.42</v>
      </c>
      <c r="J12" s="33">
        <v>0.70499999999999996</v>
      </c>
      <c r="K12" s="32">
        <v>49.62</v>
      </c>
      <c r="L12" s="32">
        <f t="shared" si="2"/>
        <v>49.62</v>
      </c>
      <c r="M12" s="32">
        <f t="shared" si="3"/>
        <v>49.62</v>
      </c>
      <c r="N12" s="90">
        <v>2128</v>
      </c>
      <c r="O12" s="35">
        <v>0.63</v>
      </c>
      <c r="P12" s="33">
        <v>0.31900000000000001</v>
      </c>
      <c r="Q12" s="32">
        <v>52.05</v>
      </c>
      <c r="R12" s="32">
        <f t="shared" si="4"/>
        <v>52.05</v>
      </c>
      <c r="S12" s="32">
        <f t="shared" si="5"/>
        <v>52.05</v>
      </c>
      <c r="T12" s="90">
        <v>1265</v>
      </c>
      <c r="U12" s="35">
        <v>0.73</v>
      </c>
      <c r="V12" s="33">
        <v>0.58499999999999996</v>
      </c>
      <c r="W12" s="32">
        <v>52.05</v>
      </c>
      <c r="X12" s="32">
        <f t="shared" si="6"/>
        <v>52.05</v>
      </c>
      <c r="Y12" s="32">
        <f t="shared" si="7"/>
        <v>52.05</v>
      </c>
    </row>
    <row r="13" spans="1:25" x14ac:dyDescent="0.2">
      <c r="A13" s="34">
        <v>36404</v>
      </c>
      <c r="B13" s="90">
        <v>13771</v>
      </c>
      <c r="C13" s="35">
        <v>0.96</v>
      </c>
      <c r="D13" s="33">
        <v>0.36700000000000005</v>
      </c>
      <c r="E13" s="32">
        <v>72.97</v>
      </c>
      <c r="F13" s="32">
        <f t="shared" si="0"/>
        <v>72.97</v>
      </c>
      <c r="G13" s="32">
        <f t="shared" si="1"/>
        <v>72.97</v>
      </c>
      <c r="H13" s="90">
        <v>2385</v>
      </c>
      <c r="I13" s="35">
        <v>0.47</v>
      </c>
      <c r="J13" s="33">
        <v>0.61599999999999999</v>
      </c>
      <c r="K13" s="32">
        <v>72.97</v>
      </c>
      <c r="L13" s="32">
        <f t="shared" si="2"/>
        <v>72.97</v>
      </c>
      <c r="M13" s="32">
        <f t="shared" si="3"/>
        <v>72.97</v>
      </c>
      <c r="N13" s="90">
        <v>1794</v>
      </c>
      <c r="O13" s="35">
        <v>0.6</v>
      </c>
      <c r="P13" s="33">
        <v>0.252</v>
      </c>
      <c r="Q13" s="32">
        <v>71.47</v>
      </c>
      <c r="R13" s="32">
        <f t="shared" si="4"/>
        <v>71.47</v>
      </c>
      <c r="S13" s="32">
        <f t="shared" si="5"/>
        <v>71.47</v>
      </c>
      <c r="T13" s="90">
        <v>975</v>
      </c>
      <c r="U13" s="35">
        <v>0.72</v>
      </c>
      <c r="V13" s="33">
        <v>0.438</v>
      </c>
      <c r="W13" s="32">
        <v>71.47</v>
      </c>
      <c r="X13" s="32">
        <f t="shared" si="6"/>
        <v>71.47</v>
      </c>
      <c r="Y13" s="32">
        <f t="shared" si="7"/>
        <v>71.47</v>
      </c>
    </row>
    <row r="14" spans="1:25" x14ac:dyDescent="0.2">
      <c r="A14" s="34">
        <v>36434</v>
      </c>
      <c r="B14" s="90">
        <v>10561</v>
      </c>
      <c r="C14" s="35">
        <v>0.61</v>
      </c>
      <c r="D14" s="33">
        <v>0.26400000000000001</v>
      </c>
      <c r="E14" s="32">
        <v>91.94</v>
      </c>
      <c r="F14" s="32">
        <f t="shared" si="0"/>
        <v>91.94</v>
      </c>
      <c r="G14" s="32">
        <f t="shared" si="1"/>
        <v>91.94</v>
      </c>
      <c r="H14" s="90">
        <v>6932</v>
      </c>
      <c r="I14" s="35">
        <v>1.1599999999999999</v>
      </c>
      <c r="J14" s="33">
        <v>0.79200000000000004</v>
      </c>
      <c r="K14" s="32">
        <v>91.94</v>
      </c>
      <c r="L14" s="32">
        <f t="shared" si="2"/>
        <v>91.94</v>
      </c>
      <c r="M14" s="32">
        <f t="shared" si="3"/>
        <v>91.94</v>
      </c>
      <c r="N14" s="90">
        <v>1915</v>
      </c>
      <c r="O14" s="35">
        <v>0.56999999999999995</v>
      </c>
      <c r="P14" s="33">
        <v>0.17</v>
      </c>
      <c r="Q14" s="32">
        <v>90.75</v>
      </c>
      <c r="R14" s="32">
        <f t="shared" si="4"/>
        <v>90.75</v>
      </c>
      <c r="S14" s="32">
        <f t="shared" si="5"/>
        <v>90.75</v>
      </c>
      <c r="T14" s="90">
        <v>1211</v>
      </c>
      <c r="U14" s="35">
        <v>0.8</v>
      </c>
      <c r="V14" s="33">
        <v>0.28699999999999998</v>
      </c>
      <c r="W14" s="32">
        <v>90.75</v>
      </c>
      <c r="X14" s="32">
        <f t="shared" si="6"/>
        <v>90.75</v>
      </c>
      <c r="Y14" s="32">
        <f t="shared" si="7"/>
        <v>90.75</v>
      </c>
    </row>
    <row r="15" spans="1:25" x14ac:dyDescent="0.2">
      <c r="A15" s="34">
        <v>36465</v>
      </c>
      <c r="B15" s="90">
        <v>15333</v>
      </c>
      <c r="C15" s="35">
        <v>0.7</v>
      </c>
      <c r="D15" s="33">
        <v>0.19699999999999998</v>
      </c>
      <c r="E15" s="36">
        <v>155.51</v>
      </c>
      <c r="F15" s="36">
        <f t="shared" si="0"/>
        <v>155.51</v>
      </c>
      <c r="G15" s="32">
        <f t="shared" si="1"/>
        <v>155.51</v>
      </c>
      <c r="H15" s="90">
        <v>2686</v>
      </c>
      <c r="I15" s="35">
        <v>0.57999999999999996</v>
      </c>
      <c r="J15" s="33">
        <v>0.66200000000000003</v>
      </c>
      <c r="K15" s="36">
        <v>155.51</v>
      </c>
      <c r="L15" s="32">
        <f t="shared" si="2"/>
        <v>155.51</v>
      </c>
      <c r="M15" s="32">
        <f t="shared" si="3"/>
        <v>155.51</v>
      </c>
      <c r="N15" s="90">
        <v>4093</v>
      </c>
      <c r="O15" s="35">
        <v>0.75</v>
      </c>
      <c r="P15" s="33">
        <v>0.159</v>
      </c>
      <c r="Q15" s="36">
        <v>161.1</v>
      </c>
      <c r="R15" s="32">
        <f t="shared" si="4"/>
        <v>161.1</v>
      </c>
      <c r="S15" s="32">
        <f t="shared" si="5"/>
        <v>161.1</v>
      </c>
      <c r="T15" s="90">
        <v>2320</v>
      </c>
      <c r="U15" s="35">
        <v>0.93</v>
      </c>
      <c r="V15" s="33">
        <v>0.24</v>
      </c>
      <c r="W15" s="36">
        <v>161.1</v>
      </c>
      <c r="X15" s="32">
        <f t="shared" si="6"/>
        <v>161.1</v>
      </c>
      <c r="Y15" s="32">
        <f t="shared" si="7"/>
        <v>161.1</v>
      </c>
    </row>
    <row r="16" spans="1:25" x14ac:dyDescent="0.2">
      <c r="A16" s="34">
        <v>36495</v>
      </c>
      <c r="B16" s="90">
        <v>22287</v>
      </c>
      <c r="C16" s="35">
        <v>0.68</v>
      </c>
      <c r="D16" s="33">
        <v>0.18100000000000002</v>
      </c>
      <c r="E16" s="32">
        <v>213.93</v>
      </c>
      <c r="F16" s="32">
        <f t="shared" si="0"/>
        <v>213.93</v>
      </c>
      <c r="G16" s="32">
        <f t="shared" si="1"/>
        <v>213.93</v>
      </c>
      <c r="H16" s="90">
        <v>2227</v>
      </c>
      <c r="I16" s="35">
        <v>0.59</v>
      </c>
      <c r="J16" s="33">
        <v>0.52900000000000003</v>
      </c>
      <c r="K16" s="32">
        <v>213.93</v>
      </c>
      <c r="L16" s="32">
        <f t="shared" si="2"/>
        <v>213.93</v>
      </c>
      <c r="M16" s="32">
        <f t="shared" si="3"/>
        <v>213.93</v>
      </c>
      <c r="N16" s="90">
        <v>8977</v>
      </c>
      <c r="O16" s="35">
        <v>0.92</v>
      </c>
      <c r="P16" s="33">
        <v>0.218</v>
      </c>
      <c r="Q16" s="32">
        <v>211.22</v>
      </c>
      <c r="R16" s="32">
        <f t="shared" si="4"/>
        <v>211.22</v>
      </c>
      <c r="S16" s="32">
        <f t="shared" si="5"/>
        <v>211.22</v>
      </c>
      <c r="T16" s="90">
        <v>5641</v>
      </c>
      <c r="U16" s="35">
        <v>1.17</v>
      </c>
      <c r="V16" s="33">
        <v>0.45700000000000002</v>
      </c>
      <c r="W16" s="32">
        <v>211.22</v>
      </c>
      <c r="X16" s="32">
        <f t="shared" si="6"/>
        <v>211.22</v>
      </c>
      <c r="Y16" s="32">
        <f t="shared" si="7"/>
        <v>211.22</v>
      </c>
    </row>
    <row r="17" spans="1:31" x14ac:dyDescent="0.2">
      <c r="A17" s="34">
        <v>36526</v>
      </c>
      <c r="B17" s="90">
        <v>43025</v>
      </c>
      <c r="C17" s="35">
        <v>0.97</v>
      </c>
      <c r="D17" s="33">
        <v>0.29299999999999998</v>
      </c>
      <c r="E17" s="32">
        <v>285.5</v>
      </c>
      <c r="F17" s="32">
        <f t="shared" si="0"/>
        <v>285.5</v>
      </c>
      <c r="G17" s="32">
        <f t="shared" si="1"/>
        <v>285.5</v>
      </c>
      <c r="H17" s="90">
        <v>3076</v>
      </c>
      <c r="I17" s="35">
        <v>0.82</v>
      </c>
      <c r="J17" s="33">
        <v>0.47499999999999998</v>
      </c>
      <c r="K17" s="32">
        <v>285.5</v>
      </c>
      <c r="L17" s="32">
        <f t="shared" si="2"/>
        <v>285.5</v>
      </c>
      <c r="M17" s="32">
        <f t="shared" si="3"/>
        <v>285.5</v>
      </c>
      <c r="N17" s="90">
        <v>12148</v>
      </c>
      <c r="O17" s="35">
        <v>0.89</v>
      </c>
      <c r="P17" s="33">
        <v>0.35700000000000004</v>
      </c>
      <c r="Q17" s="32">
        <v>187.58</v>
      </c>
      <c r="R17" s="32">
        <f t="shared" si="4"/>
        <v>187.58</v>
      </c>
      <c r="S17" s="32">
        <f t="shared" si="5"/>
        <v>187.58</v>
      </c>
      <c r="T17" s="90">
        <v>12057</v>
      </c>
      <c r="U17" s="35">
        <v>1.42</v>
      </c>
      <c r="V17" s="33">
        <v>0.755</v>
      </c>
      <c r="W17" s="32">
        <v>187.58</v>
      </c>
      <c r="X17" s="32">
        <f t="shared" si="6"/>
        <v>187.58</v>
      </c>
      <c r="Y17" s="32">
        <f t="shared" si="7"/>
        <v>187.58</v>
      </c>
    </row>
    <row r="18" spans="1:31" x14ac:dyDescent="0.2">
      <c r="A18" s="34">
        <v>36557</v>
      </c>
      <c r="B18" s="90">
        <v>53942</v>
      </c>
      <c r="C18" s="35">
        <v>1.1499999999999999</v>
      </c>
      <c r="D18" s="33">
        <v>0.45</v>
      </c>
      <c r="E18" s="32">
        <v>190.88</v>
      </c>
      <c r="F18" s="32">
        <f t="shared" si="0"/>
        <v>190.88</v>
      </c>
      <c r="G18" s="32">
        <f t="shared" si="1"/>
        <v>190.88</v>
      </c>
      <c r="H18" s="90">
        <v>4419</v>
      </c>
      <c r="I18" s="35">
        <v>1.08</v>
      </c>
      <c r="J18" s="33">
        <v>0.47299999999999998</v>
      </c>
      <c r="K18" s="32">
        <v>190.88</v>
      </c>
      <c r="L18" s="32">
        <f t="shared" si="2"/>
        <v>190.88</v>
      </c>
      <c r="M18" s="32">
        <f t="shared" si="3"/>
        <v>190.88</v>
      </c>
      <c r="N18" s="90">
        <v>15942</v>
      </c>
      <c r="O18" s="35">
        <v>1.1000000000000001</v>
      </c>
      <c r="P18" s="33">
        <v>0.54100000000000004</v>
      </c>
      <c r="Q18" s="32">
        <v>158.55000000000001</v>
      </c>
      <c r="R18" s="32">
        <f t="shared" si="4"/>
        <v>158.55000000000001</v>
      </c>
      <c r="S18" s="32">
        <f t="shared" si="5"/>
        <v>158.55000000000001</v>
      </c>
      <c r="T18" s="90">
        <v>13406</v>
      </c>
      <c r="U18" s="35">
        <v>1.17</v>
      </c>
      <c r="V18" s="33">
        <v>0.80700000000000005</v>
      </c>
      <c r="W18" s="32">
        <v>158.55000000000001</v>
      </c>
      <c r="X18" s="32">
        <f t="shared" si="6"/>
        <v>158.55000000000001</v>
      </c>
      <c r="Y18" s="32">
        <f t="shared" si="7"/>
        <v>158.55000000000001</v>
      </c>
    </row>
    <row r="19" spans="1:31" x14ac:dyDescent="0.2">
      <c r="A19" s="34">
        <v>36586</v>
      </c>
      <c r="B19" s="90">
        <v>47730</v>
      </c>
      <c r="C19" s="35">
        <v>1.0900000000000001</v>
      </c>
      <c r="D19" s="33">
        <v>0.58499999999999996</v>
      </c>
      <c r="E19" s="32">
        <v>86.56</v>
      </c>
      <c r="F19" s="32">
        <f t="shared" si="0"/>
        <v>86.56</v>
      </c>
      <c r="G19" s="32">
        <f t="shared" si="1"/>
        <v>86.56</v>
      </c>
      <c r="H19" s="90">
        <v>4685</v>
      </c>
      <c r="I19" s="35">
        <v>1.25</v>
      </c>
      <c r="J19" s="33">
        <v>0.52300000000000002</v>
      </c>
      <c r="K19" s="32">
        <v>86.56</v>
      </c>
      <c r="L19" s="32">
        <f t="shared" si="2"/>
        <v>86.56</v>
      </c>
      <c r="M19" s="32">
        <f t="shared" si="3"/>
        <v>86.56</v>
      </c>
      <c r="N19" s="90">
        <v>12727</v>
      </c>
      <c r="O19" s="35">
        <v>0.91</v>
      </c>
      <c r="P19" s="33">
        <v>0.66</v>
      </c>
      <c r="Q19" s="32">
        <v>63.93</v>
      </c>
      <c r="R19" s="32">
        <f t="shared" si="4"/>
        <v>63.93</v>
      </c>
      <c r="S19" s="32">
        <f t="shared" si="5"/>
        <v>63.93</v>
      </c>
      <c r="T19" s="90">
        <v>16985</v>
      </c>
      <c r="U19" s="35">
        <v>1.27</v>
      </c>
      <c r="V19" s="33">
        <v>0.83299999999999996</v>
      </c>
      <c r="W19" s="32">
        <v>63.93</v>
      </c>
      <c r="X19" s="32">
        <f t="shared" si="6"/>
        <v>63.93</v>
      </c>
      <c r="Y19" s="32">
        <f t="shared" si="7"/>
        <v>63.93</v>
      </c>
    </row>
    <row r="20" spans="1:31" x14ac:dyDescent="0.2">
      <c r="A20" s="34">
        <v>36617</v>
      </c>
      <c r="B20" s="90">
        <v>28030</v>
      </c>
      <c r="C20" s="35">
        <v>0.85</v>
      </c>
      <c r="D20" s="33">
        <v>0.59399999999999997</v>
      </c>
      <c r="E20" s="32">
        <v>56.67</v>
      </c>
      <c r="F20" s="32">
        <f t="shared" si="0"/>
        <v>56.67</v>
      </c>
      <c r="G20" s="32">
        <f t="shared" si="1"/>
        <v>56.67</v>
      </c>
      <c r="H20" s="90">
        <v>2040</v>
      </c>
      <c r="I20" s="35">
        <v>0.63</v>
      </c>
      <c r="J20" s="33">
        <v>0.4</v>
      </c>
      <c r="K20" s="32">
        <v>56.67</v>
      </c>
      <c r="L20" s="32">
        <f t="shared" si="2"/>
        <v>56.67</v>
      </c>
      <c r="M20" s="32">
        <f t="shared" si="3"/>
        <v>56.67</v>
      </c>
      <c r="N20" s="90">
        <v>9993</v>
      </c>
      <c r="O20" s="35">
        <v>0.9</v>
      </c>
      <c r="P20" s="33">
        <v>0.71199999999999997</v>
      </c>
      <c r="Q20" s="32">
        <v>33.299999999999997</v>
      </c>
      <c r="R20" s="32">
        <f t="shared" si="4"/>
        <v>33.299999999999997</v>
      </c>
      <c r="S20" s="32">
        <f t="shared" si="5"/>
        <v>33.299999999999997</v>
      </c>
      <c r="T20" s="90">
        <v>14787</v>
      </c>
      <c r="U20" s="35">
        <v>1.1100000000000001</v>
      </c>
      <c r="V20" s="33">
        <v>0.83699999999999997</v>
      </c>
      <c r="W20" s="32">
        <v>33.299999999999997</v>
      </c>
      <c r="X20" s="32">
        <f t="shared" si="6"/>
        <v>33.299999999999997</v>
      </c>
      <c r="Y20" s="32">
        <f t="shared" si="7"/>
        <v>33.299999999999997</v>
      </c>
      <c r="AB20" s="32" t="s">
        <v>246</v>
      </c>
      <c r="AC20" s="32" t="s">
        <v>147</v>
      </c>
      <c r="AD20" s="32" t="s">
        <v>210</v>
      </c>
      <c r="AE20" s="32" t="s">
        <v>247</v>
      </c>
    </row>
    <row r="21" spans="1:31" x14ac:dyDescent="0.2">
      <c r="A21" s="34">
        <v>36647</v>
      </c>
      <c r="B21" s="90">
        <v>18146</v>
      </c>
      <c r="C21" s="35">
        <v>0.74</v>
      </c>
      <c r="D21" s="33">
        <v>0.54100000000000004</v>
      </c>
      <c r="E21" s="32">
        <v>86.08</v>
      </c>
      <c r="F21" s="32">
        <f t="shared" si="0"/>
        <v>86.08</v>
      </c>
      <c r="G21" s="32">
        <f t="shared" si="1"/>
        <v>86.08</v>
      </c>
      <c r="H21" s="90">
        <v>2330</v>
      </c>
      <c r="I21" s="35">
        <v>0.55000000000000004</v>
      </c>
      <c r="J21" s="33">
        <v>0.30199999999999999</v>
      </c>
      <c r="K21" s="32">
        <v>86.08</v>
      </c>
      <c r="L21" s="32">
        <f t="shared" si="2"/>
        <v>86.08</v>
      </c>
      <c r="M21" s="32">
        <f t="shared" si="3"/>
        <v>86.08</v>
      </c>
      <c r="N21" s="90">
        <v>5088</v>
      </c>
      <c r="O21" s="37">
        <v>0.73</v>
      </c>
      <c r="P21" s="33">
        <v>0.67300000000000004</v>
      </c>
      <c r="Q21" s="32">
        <v>47.84</v>
      </c>
      <c r="R21" s="32">
        <f t="shared" si="4"/>
        <v>47.84</v>
      </c>
      <c r="S21" s="32">
        <f t="shared" si="5"/>
        <v>47.84</v>
      </c>
      <c r="T21" s="90">
        <v>10046</v>
      </c>
      <c r="U21" s="37">
        <v>1.1599999999999999</v>
      </c>
      <c r="V21" s="33">
        <v>0.82099999999999995</v>
      </c>
      <c r="W21" s="32">
        <v>47.84</v>
      </c>
      <c r="X21" s="32">
        <f t="shared" si="6"/>
        <v>47.84</v>
      </c>
      <c r="Y21" s="32">
        <f t="shared" si="7"/>
        <v>47.84</v>
      </c>
      <c r="AA21" s="63" t="s">
        <v>211</v>
      </c>
      <c r="AB21" s="64">
        <v>7.2999999999999995E-2</v>
      </c>
      <c r="AC21" s="64">
        <v>6.3E-2</v>
      </c>
      <c r="AD21" s="99">
        <f>AE21/$AE$25</f>
        <v>4.5406672555548006E-2</v>
      </c>
      <c r="AE21" s="65">
        <v>10692</v>
      </c>
    </row>
    <row r="22" spans="1:31" x14ac:dyDescent="0.2">
      <c r="A22" s="34">
        <v>36678</v>
      </c>
      <c r="B22" s="90">
        <v>15987</v>
      </c>
      <c r="C22" s="35">
        <v>0.77</v>
      </c>
      <c r="D22" s="33">
        <v>0.47299999999999998</v>
      </c>
      <c r="E22" s="32">
        <v>137.16</v>
      </c>
      <c r="F22" s="32">
        <f t="shared" si="0"/>
        <v>137.16</v>
      </c>
      <c r="G22" s="32">
        <f t="shared" si="1"/>
        <v>137.16</v>
      </c>
      <c r="H22" s="90">
        <v>2812</v>
      </c>
      <c r="I22" s="35">
        <v>0.55000000000000004</v>
      </c>
      <c r="J22" s="33">
        <v>0.41</v>
      </c>
      <c r="K22" s="32">
        <v>137.16</v>
      </c>
      <c r="L22" s="32">
        <f t="shared" si="2"/>
        <v>137.16</v>
      </c>
      <c r="M22" s="32">
        <f t="shared" si="3"/>
        <v>137.16</v>
      </c>
      <c r="N22" s="90">
        <v>3607</v>
      </c>
      <c r="O22" s="37">
        <v>0.76</v>
      </c>
      <c r="P22" s="33">
        <v>0.61799999999999999</v>
      </c>
      <c r="Q22" s="32">
        <v>69.510000000000005</v>
      </c>
      <c r="R22" s="32">
        <f t="shared" si="4"/>
        <v>69.510000000000005</v>
      </c>
      <c r="S22" s="32">
        <f t="shared" si="5"/>
        <v>69.510000000000005</v>
      </c>
      <c r="T22" s="90">
        <v>3539</v>
      </c>
      <c r="U22" s="37">
        <v>0.83</v>
      </c>
      <c r="V22" s="33">
        <v>0.81100000000000005</v>
      </c>
      <c r="W22" s="32">
        <v>69.510000000000005</v>
      </c>
      <c r="X22" s="32">
        <f t="shared" si="6"/>
        <v>69.510000000000005</v>
      </c>
      <c r="Y22" s="32">
        <f t="shared" si="7"/>
        <v>69.510000000000005</v>
      </c>
      <c r="AA22" s="63" t="s">
        <v>142</v>
      </c>
      <c r="AB22" s="64">
        <v>0.13100000000000001</v>
      </c>
      <c r="AC22" s="64">
        <v>0.14499999999999999</v>
      </c>
      <c r="AD22" s="99">
        <f>AE22/$AE$25</f>
        <v>0.21315485492967318</v>
      </c>
      <c r="AE22" s="65">
        <v>50192</v>
      </c>
    </row>
    <row r="23" spans="1:31" x14ac:dyDescent="0.2">
      <c r="A23" s="34">
        <v>36708</v>
      </c>
      <c r="B23" s="90">
        <v>15295</v>
      </c>
      <c r="C23" s="37">
        <v>0.86</v>
      </c>
      <c r="D23" s="33">
        <v>0.40600000000000003</v>
      </c>
      <c r="E23" s="32">
        <v>145.72999999999999</v>
      </c>
      <c r="F23" s="32">
        <f t="shared" si="0"/>
        <v>145.72999999999999</v>
      </c>
      <c r="G23" s="32">
        <f t="shared" si="1"/>
        <v>145.72999999999999</v>
      </c>
      <c r="H23" s="90">
        <v>4736</v>
      </c>
      <c r="I23" s="37">
        <v>0.92</v>
      </c>
      <c r="J23" s="33">
        <v>0.441</v>
      </c>
      <c r="K23" s="32">
        <v>145.72999999999999</v>
      </c>
      <c r="L23" s="32">
        <f t="shared" si="2"/>
        <v>145.72999999999999</v>
      </c>
      <c r="M23" s="32">
        <f t="shared" si="3"/>
        <v>145.72999999999999</v>
      </c>
      <c r="N23" s="90">
        <v>2925</v>
      </c>
      <c r="O23" s="37">
        <v>0.78</v>
      </c>
      <c r="P23" s="33">
        <v>0.55700000000000005</v>
      </c>
      <c r="Q23" s="32">
        <v>99.53</v>
      </c>
      <c r="R23" s="32">
        <f t="shared" si="4"/>
        <v>99.53</v>
      </c>
      <c r="S23" s="32">
        <f t="shared" si="5"/>
        <v>99.53</v>
      </c>
      <c r="T23" s="90">
        <v>2190</v>
      </c>
      <c r="U23" s="37">
        <v>0.89</v>
      </c>
      <c r="V23" s="33">
        <v>0.755</v>
      </c>
      <c r="W23" s="32">
        <v>99.53</v>
      </c>
      <c r="X23" s="32">
        <f t="shared" si="6"/>
        <v>99.53</v>
      </c>
      <c r="Y23" s="32">
        <f t="shared" si="7"/>
        <v>99.53</v>
      </c>
      <c r="AA23" s="63" t="s">
        <v>138</v>
      </c>
      <c r="AB23" s="64">
        <v>0.129</v>
      </c>
      <c r="AC23" s="64">
        <v>0.16200000000000001</v>
      </c>
      <c r="AD23" s="99">
        <f>AE23/$AE$25</f>
        <v>6.0809777807977167E-2</v>
      </c>
      <c r="AE23" s="65">
        <v>14319</v>
      </c>
    </row>
    <row r="24" spans="1:31" x14ac:dyDescent="0.2">
      <c r="A24" s="34">
        <v>36739</v>
      </c>
      <c r="B24" s="90">
        <v>14714</v>
      </c>
      <c r="C24" s="37">
        <v>0.97</v>
      </c>
      <c r="D24" s="33">
        <v>0.318</v>
      </c>
      <c r="E24" s="32">
        <v>129.80000000000001</v>
      </c>
      <c r="F24" s="32">
        <f t="shared" si="0"/>
        <v>129.80000000000001</v>
      </c>
      <c r="G24" s="32">
        <f t="shared" si="1"/>
        <v>129.80000000000001</v>
      </c>
      <c r="H24" s="90">
        <v>2903</v>
      </c>
      <c r="I24" s="37">
        <v>0.67</v>
      </c>
      <c r="J24" s="33">
        <v>0.46200000000000002</v>
      </c>
      <c r="K24" s="32">
        <v>129.80000000000001</v>
      </c>
      <c r="L24" s="32">
        <f t="shared" si="2"/>
        <v>129.80000000000001</v>
      </c>
      <c r="M24" s="32">
        <f t="shared" si="3"/>
        <v>129.80000000000001</v>
      </c>
      <c r="N24" s="90">
        <v>2498</v>
      </c>
      <c r="O24" s="37">
        <v>0.73</v>
      </c>
      <c r="P24" s="33">
        <v>0.47</v>
      </c>
      <c r="Q24" s="32">
        <v>89.72</v>
      </c>
      <c r="R24" s="32">
        <f t="shared" si="4"/>
        <v>89.72</v>
      </c>
      <c r="S24" s="32">
        <f t="shared" si="5"/>
        <v>89.72</v>
      </c>
      <c r="T24" s="90">
        <v>1677</v>
      </c>
      <c r="U24" s="89">
        <v>0.97</v>
      </c>
      <c r="V24" s="33">
        <v>0.61499999999999999</v>
      </c>
      <c r="W24" s="32">
        <v>89.72</v>
      </c>
      <c r="X24" s="32">
        <f t="shared" si="6"/>
        <v>89.72</v>
      </c>
      <c r="Y24" s="32">
        <f t="shared" si="7"/>
        <v>89.72</v>
      </c>
      <c r="AA24" s="63" t="s">
        <v>137</v>
      </c>
      <c r="AB24" s="64">
        <f>0.429+0.198+0.04</f>
        <v>0.66700000000000004</v>
      </c>
      <c r="AC24" s="64">
        <v>0.63</v>
      </c>
      <c r="AD24" s="99">
        <f>AE24/$AE$25</f>
        <v>0.68062869470680165</v>
      </c>
      <c r="AE24" s="65">
        <v>160269</v>
      </c>
    </row>
    <row r="25" spans="1:31" x14ac:dyDescent="0.2">
      <c r="A25" s="34">
        <v>36770</v>
      </c>
      <c r="B25" s="90">
        <v>16482</v>
      </c>
      <c r="C25" s="37">
        <v>0.95</v>
      </c>
      <c r="D25" s="33">
        <v>0.307</v>
      </c>
      <c r="E25" s="32">
        <v>156.11000000000001</v>
      </c>
      <c r="F25" s="32">
        <v>156.11000000000001</v>
      </c>
      <c r="G25" s="32">
        <v>156.11000000000001</v>
      </c>
      <c r="H25" s="91">
        <v>12561</v>
      </c>
      <c r="I25" s="37">
        <v>2.1</v>
      </c>
      <c r="J25" s="33">
        <v>0.86699999999999999</v>
      </c>
      <c r="K25" s="32">
        <v>175.99</v>
      </c>
      <c r="L25" s="32">
        <v>175.99</v>
      </c>
      <c r="M25" s="32">
        <v>156.11000000000001</v>
      </c>
      <c r="N25" s="90">
        <v>2791</v>
      </c>
      <c r="O25" s="37">
        <v>0.83</v>
      </c>
      <c r="P25" s="33">
        <v>0.39300000000000002</v>
      </c>
      <c r="Q25" s="32">
        <v>101.49</v>
      </c>
      <c r="R25" s="32">
        <v>101.49</v>
      </c>
      <c r="S25" s="32">
        <v>101.49</v>
      </c>
      <c r="T25" s="90">
        <v>1333</v>
      </c>
      <c r="U25" s="89">
        <v>0.88</v>
      </c>
      <c r="V25" s="33">
        <v>0.45</v>
      </c>
      <c r="W25" s="32">
        <v>101.49</v>
      </c>
      <c r="X25" s="32">
        <v>101.49</v>
      </c>
      <c r="Y25" s="32">
        <v>66.06</v>
      </c>
      <c r="AA25" s="32" t="s">
        <v>174</v>
      </c>
      <c r="AB25" s="64">
        <f>SUM(AB21:AB24)</f>
        <v>1</v>
      </c>
      <c r="AC25" s="64">
        <f>SUM(AC21:AC24)</f>
        <v>1</v>
      </c>
      <c r="AD25" s="99">
        <f>SUM(AD21:AD24)</f>
        <v>1</v>
      </c>
      <c r="AE25" s="65">
        <f>SUM(AE21:AE24)</f>
        <v>235472</v>
      </c>
    </row>
    <row r="26" spans="1:31" x14ac:dyDescent="0.2">
      <c r="A26" s="34">
        <v>36800</v>
      </c>
      <c r="B26" s="90">
        <v>15963</v>
      </c>
      <c r="C26" s="37">
        <v>0.92</v>
      </c>
      <c r="D26" s="33">
        <v>0.23</v>
      </c>
      <c r="E26" s="32">
        <v>93.02</v>
      </c>
      <c r="F26" s="32">
        <v>93.02</v>
      </c>
      <c r="G26" s="32">
        <v>93.02</v>
      </c>
      <c r="H26" s="90">
        <v>13578</v>
      </c>
      <c r="I26" s="37">
        <v>1.84</v>
      </c>
      <c r="J26" s="33">
        <v>0.96199999999999997</v>
      </c>
      <c r="K26" s="32">
        <v>93.02</v>
      </c>
      <c r="L26" s="32">
        <v>93.02</v>
      </c>
      <c r="M26" s="32">
        <v>27.45</v>
      </c>
      <c r="N26" s="90">
        <v>2308</v>
      </c>
      <c r="O26" s="37">
        <v>0.69</v>
      </c>
      <c r="P26" s="33">
        <v>0.28899999999999998</v>
      </c>
      <c r="Q26" s="32">
        <v>76.069999999999993</v>
      </c>
      <c r="R26" s="32">
        <v>76.069999999999993</v>
      </c>
      <c r="S26" s="32">
        <v>76.069999999999993</v>
      </c>
      <c r="T26" s="90">
        <v>1336</v>
      </c>
      <c r="U26" s="89">
        <v>0.88</v>
      </c>
      <c r="V26" s="33">
        <v>0.32100000000000001</v>
      </c>
      <c r="W26" s="32">
        <v>76.069999999999993</v>
      </c>
      <c r="X26" s="32">
        <v>76.069999999999993</v>
      </c>
      <c r="Y26" s="32">
        <v>76.069999999999993</v>
      </c>
    </row>
    <row r="27" spans="1:31" x14ac:dyDescent="0.2">
      <c r="A27" s="34">
        <v>36831</v>
      </c>
      <c r="B27" s="90">
        <v>23973</v>
      </c>
      <c r="C27" s="37">
        <v>1.0900000000000001</v>
      </c>
      <c r="D27" s="33">
        <v>0.22090000000000001</v>
      </c>
      <c r="E27" s="32">
        <v>149.69999999999999</v>
      </c>
      <c r="F27" s="32">
        <v>149.69999999999999</v>
      </c>
      <c r="G27" s="32">
        <v>149.69999999999999</v>
      </c>
      <c r="H27" s="90">
        <v>4701</v>
      </c>
      <c r="I27" s="37">
        <v>0.85</v>
      </c>
      <c r="J27" s="33">
        <v>0.92900000000000005</v>
      </c>
      <c r="K27" s="32">
        <v>149.69999999999999</v>
      </c>
      <c r="L27" s="32">
        <v>149.69999999999999</v>
      </c>
      <c r="M27" s="32">
        <v>147.15</v>
      </c>
      <c r="N27" s="90">
        <v>4889</v>
      </c>
      <c r="O27" s="37">
        <v>0.9</v>
      </c>
      <c r="P27" s="33">
        <v>0.27539999999999998</v>
      </c>
      <c r="Q27" s="32">
        <v>127.3</v>
      </c>
      <c r="R27" s="32">
        <v>127.3</v>
      </c>
      <c r="S27" s="32">
        <v>127.3</v>
      </c>
      <c r="T27" s="90">
        <v>2693</v>
      </c>
      <c r="U27" s="89">
        <v>1.08</v>
      </c>
      <c r="V27" s="33">
        <v>0.29020000000000001</v>
      </c>
      <c r="W27" s="32">
        <v>149.69999999999999</v>
      </c>
      <c r="X27" s="32">
        <v>127.3</v>
      </c>
      <c r="Y27" s="32">
        <v>127.3</v>
      </c>
    </row>
    <row r="28" spans="1:31" x14ac:dyDescent="0.2">
      <c r="A28" s="34">
        <v>36861</v>
      </c>
      <c r="B28" s="90">
        <v>35177</v>
      </c>
      <c r="C28" s="37">
        <v>1.07</v>
      </c>
      <c r="D28" s="33">
        <v>0.28499999999999998</v>
      </c>
      <c r="E28" s="32">
        <v>103.54</v>
      </c>
      <c r="F28" s="32">
        <v>103.54</v>
      </c>
      <c r="G28" s="32">
        <v>103.54</v>
      </c>
      <c r="H28" s="90">
        <v>3495</v>
      </c>
      <c r="I28" s="37">
        <v>0.78</v>
      </c>
      <c r="J28" s="33">
        <v>0.89400000000000002</v>
      </c>
      <c r="K28" s="32">
        <v>103.54</v>
      </c>
      <c r="L28" s="32">
        <v>103.54</v>
      </c>
      <c r="M28" s="32">
        <v>101.77</v>
      </c>
      <c r="N28" s="90">
        <v>10389</v>
      </c>
      <c r="O28" s="37">
        <v>1.07</v>
      </c>
      <c r="P28" s="33">
        <v>0.36799999999999999</v>
      </c>
      <c r="Q28" s="32">
        <v>72.16</v>
      </c>
      <c r="R28" s="32">
        <v>72.16</v>
      </c>
      <c r="S28" s="32">
        <v>72.16</v>
      </c>
      <c r="T28" s="90">
        <v>6510</v>
      </c>
      <c r="U28" s="89">
        <v>1.35</v>
      </c>
      <c r="V28" s="33">
        <v>0.59299999999999997</v>
      </c>
      <c r="W28" s="32">
        <v>103.54</v>
      </c>
      <c r="X28" s="32">
        <v>103.54</v>
      </c>
      <c r="Y28" s="32">
        <v>103.54</v>
      </c>
    </row>
    <row r="29" spans="1:31" x14ac:dyDescent="0.2">
      <c r="A29" s="34">
        <v>36892</v>
      </c>
      <c r="B29" s="92"/>
      <c r="C29" s="92"/>
      <c r="D29" s="93"/>
      <c r="E29" s="32">
        <v>56.92</v>
      </c>
      <c r="F29" s="32">
        <v>56.92</v>
      </c>
      <c r="G29" s="32">
        <v>56.92</v>
      </c>
      <c r="K29" s="32">
        <v>56.92</v>
      </c>
      <c r="L29" s="32">
        <v>56.92</v>
      </c>
      <c r="M29" s="32">
        <v>56.92</v>
      </c>
      <c r="Q29" s="32">
        <v>33.869999999999997</v>
      </c>
      <c r="R29" s="32">
        <v>33.869999999999997</v>
      </c>
      <c r="S29" s="32">
        <v>33.869999999999997</v>
      </c>
      <c r="W29" s="32">
        <v>33.869999999999997</v>
      </c>
      <c r="X29" s="32">
        <v>33.869999999999997</v>
      </c>
      <c r="Y29" s="32">
        <v>33.869999999999997</v>
      </c>
    </row>
    <row r="33" spans="1:9" x14ac:dyDescent="0.2">
      <c r="B33" s="432" t="s">
        <v>214</v>
      </c>
      <c r="C33" s="434"/>
      <c r="D33" s="434"/>
      <c r="E33" s="434"/>
      <c r="F33" s="434"/>
      <c r="G33" s="434"/>
      <c r="H33" s="434"/>
      <c r="I33" s="433"/>
    </row>
    <row r="34" spans="1:9" x14ac:dyDescent="0.2">
      <c r="A34" s="92"/>
      <c r="B34" s="432" t="s">
        <v>137</v>
      </c>
      <c r="C34" s="433"/>
      <c r="D34" s="432" t="s">
        <v>138</v>
      </c>
      <c r="E34" s="433"/>
      <c r="F34" s="432" t="s">
        <v>142</v>
      </c>
      <c r="G34" s="433"/>
      <c r="H34" s="432" t="s">
        <v>211</v>
      </c>
      <c r="I34" s="433"/>
    </row>
    <row r="35" spans="1:9" x14ac:dyDescent="0.2">
      <c r="A35" s="94"/>
      <c r="B35" s="95" t="s">
        <v>267</v>
      </c>
      <c r="C35" s="95">
        <v>2000</v>
      </c>
      <c r="D35" s="95" t="s">
        <v>267</v>
      </c>
      <c r="E35" s="95">
        <v>2000</v>
      </c>
      <c r="F35" s="95" t="s">
        <v>267</v>
      </c>
      <c r="G35" s="95">
        <v>2000</v>
      </c>
      <c r="H35" s="95" t="s">
        <v>267</v>
      </c>
      <c r="I35" s="95">
        <v>2000</v>
      </c>
    </row>
    <row r="36" spans="1:9" x14ac:dyDescent="0.2">
      <c r="A36" s="96" t="s">
        <v>132</v>
      </c>
      <c r="B36" s="97">
        <v>0.56799999999999995</v>
      </c>
      <c r="C36" s="98">
        <v>0.29299999999999998</v>
      </c>
      <c r="D36" s="98">
        <v>0.79200000000000004</v>
      </c>
      <c r="E36" s="98">
        <v>0.47499999999999998</v>
      </c>
      <c r="F36" s="98">
        <v>0.44400000000000001</v>
      </c>
      <c r="G36" s="98">
        <v>0.35700000000000004</v>
      </c>
      <c r="H36" s="98">
        <v>0.74199999999999999</v>
      </c>
      <c r="I36" s="98">
        <v>0.755</v>
      </c>
    </row>
    <row r="37" spans="1:9" x14ac:dyDescent="0.2">
      <c r="A37" s="96" t="s">
        <v>150</v>
      </c>
      <c r="B37" s="97">
        <v>0.622</v>
      </c>
      <c r="C37" s="98">
        <v>0.45</v>
      </c>
      <c r="D37" s="98">
        <v>0.84399999999999997</v>
      </c>
      <c r="E37" s="98">
        <v>0.47299999999999998</v>
      </c>
      <c r="F37" s="98">
        <v>0.42599999999999999</v>
      </c>
      <c r="G37" s="98">
        <v>0.54100000000000004</v>
      </c>
      <c r="H37" s="98">
        <v>0.80200000000000005</v>
      </c>
      <c r="I37" s="98">
        <v>0.80700000000000005</v>
      </c>
    </row>
    <row r="38" spans="1:9" x14ac:dyDescent="0.2">
      <c r="A38" s="96" t="s">
        <v>133</v>
      </c>
      <c r="B38" s="97">
        <v>0.71</v>
      </c>
      <c r="C38" s="98">
        <v>0.58499999999999996</v>
      </c>
      <c r="D38" s="98">
        <v>0.749</v>
      </c>
      <c r="E38" s="98">
        <v>0.52300000000000002</v>
      </c>
      <c r="F38" s="98">
        <v>0.58599999999999997</v>
      </c>
      <c r="G38" s="98">
        <v>0.66</v>
      </c>
      <c r="H38" s="98">
        <v>0.81</v>
      </c>
      <c r="I38" s="98">
        <v>0.83299999999999996</v>
      </c>
    </row>
    <row r="39" spans="1:9" x14ac:dyDescent="0.2">
      <c r="A39" s="96" t="s">
        <v>151</v>
      </c>
      <c r="B39" s="97">
        <v>0.69799999999999995</v>
      </c>
      <c r="C39" s="98">
        <v>0.59399999999999997</v>
      </c>
      <c r="D39" s="98">
        <v>0.72699999999999998</v>
      </c>
      <c r="E39" s="98">
        <v>0.4</v>
      </c>
      <c r="F39" s="98">
        <v>0.57399999999999995</v>
      </c>
      <c r="G39" s="98">
        <v>0.71199999999999997</v>
      </c>
      <c r="H39" s="98">
        <v>0.83199999999999996</v>
      </c>
      <c r="I39" s="98">
        <v>0.83699999999999997</v>
      </c>
    </row>
    <row r="40" spans="1:9" x14ac:dyDescent="0.2">
      <c r="A40" s="96" t="s">
        <v>152</v>
      </c>
      <c r="B40" s="97">
        <v>0.65400000000000003</v>
      </c>
      <c r="C40" s="98">
        <v>0.54100000000000004</v>
      </c>
      <c r="D40" s="98">
        <v>0.60799999999999998</v>
      </c>
      <c r="E40" s="98">
        <v>0.30199999999999999</v>
      </c>
      <c r="F40" s="98">
        <v>0.52900000000000003</v>
      </c>
      <c r="G40" s="98">
        <v>0.67300000000000004</v>
      </c>
      <c r="H40" s="98">
        <v>0.83699999999999997</v>
      </c>
      <c r="I40" s="98">
        <v>0.82099999999999995</v>
      </c>
    </row>
    <row r="41" spans="1:9" x14ac:dyDescent="0.2">
      <c r="A41" s="96" t="s">
        <v>134</v>
      </c>
      <c r="B41" s="97">
        <v>0.60099999999999998</v>
      </c>
      <c r="C41" s="98">
        <v>0.47299999999999998</v>
      </c>
      <c r="D41" s="98">
        <v>0.76100000000000001</v>
      </c>
      <c r="E41" s="98">
        <v>0.41</v>
      </c>
      <c r="F41" s="98">
        <v>0.46399999999999997</v>
      </c>
      <c r="G41" s="98">
        <v>0.61799999999999999</v>
      </c>
      <c r="H41" s="98">
        <v>0.81</v>
      </c>
      <c r="I41" s="98">
        <v>0.81100000000000005</v>
      </c>
    </row>
    <row r="42" spans="1:9" x14ac:dyDescent="0.2">
      <c r="A42" s="96" t="s">
        <v>135</v>
      </c>
      <c r="B42" s="97">
        <v>0.54200000000000004</v>
      </c>
      <c r="C42" s="98">
        <v>0.40600000000000003</v>
      </c>
      <c r="D42" s="98">
        <v>0.879</v>
      </c>
      <c r="E42" s="98">
        <v>0.441</v>
      </c>
      <c r="F42" s="98">
        <v>0.39600000000000002</v>
      </c>
      <c r="G42" s="98">
        <v>0.55700000000000005</v>
      </c>
      <c r="H42" s="98">
        <v>0.71399999999999997</v>
      </c>
      <c r="I42" s="98">
        <v>0.755</v>
      </c>
    </row>
    <row r="43" spans="1:9" x14ac:dyDescent="0.2">
      <c r="A43" s="96" t="s">
        <v>153</v>
      </c>
      <c r="B43" s="97">
        <v>0.45</v>
      </c>
      <c r="C43" s="98">
        <v>0.318</v>
      </c>
      <c r="D43" s="98">
        <v>0.70499999999999996</v>
      </c>
      <c r="E43" s="98">
        <v>0.46200000000000002</v>
      </c>
      <c r="F43" s="98">
        <v>0.31900000000000001</v>
      </c>
      <c r="G43" s="98">
        <v>0.47</v>
      </c>
      <c r="H43" s="98">
        <v>0.58499999999999996</v>
      </c>
      <c r="I43" s="98">
        <v>0.61499999999999999</v>
      </c>
    </row>
    <row r="44" spans="1:9" x14ac:dyDescent="0.2">
      <c r="A44" s="96" t="s">
        <v>154</v>
      </c>
      <c r="B44" s="97">
        <v>0.36700000000000005</v>
      </c>
      <c r="C44" s="98">
        <v>0.307</v>
      </c>
      <c r="D44" s="98">
        <v>0.61599999999999999</v>
      </c>
      <c r="E44" s="98">
        <v>0.86699999999999999</v>
      </c>
      <c r="F44" s="98">
        <v>0.252</v>
      </c>
      <c r="G44" s="98">
        <v>0.39300000000000002</v>
      </c>
      <c r="H44" s="98">
        <v>0.438</v>
      </c>
      <c r="I44" s="98">
        <v>0.45</v>
      </c>
    </row>
    <row r="45" spans="1:9" x14ac:dyDescent="0.2">
      <c r="A45" s="96" t="s">
        <v>155</v>
      </c>
      <c r="B45" s="97">
        <v>0.26400000000000001</v>
      </c>
      <c r="C45" s="33">
        <v>0.23</v>
      </c>
      <c r="D45" s="98">
        <v>0.79200000000000004</v>
      </c>
      <c r="E45" s="33">
        <v>0.96199999999999997</v>
      </c>
      <c r="F45" s="98">
        <v>0.17</v>
      </c>
      <c r="G45" s="33">
        <v>0.28899999999999998</v>
      </c>
      <c r="H45" s="98">
        <v>0.28699999999999998</v>
      </c>
      <c r="I45" s="33">
        <v>0.32100000000000001</v>
      </c>
    </row>
    <row r="46" spans="1:9" x14ac:dyDescent="0.2">
      <c r="A46" s="96" t="s">
        <v>136</v>
      </c>
      <c r="B46" s="97">
        <v>0.19699999999999998</v>
      </c>
      <c r="C46" s="33">
        <v>0.22090000000000001</v>
      </c>
      <c r="D46" s="98">
        <v>0.66200000000000003</v>
      </c>
      <c r="E46" s="33">
        <v>0.92900000000000005</v>
      </c>
      <c r="F46" s="98">
        <v>0.159</v>
      </c>
      <c r="G46" s="33">
        <v>0.27539999999999998</v>
      </c>
      <c r="H46" s="98">
        <v>0.24</v>
      </c>
      <c r="I46" s="33">
        <v>0.29020000000000001</v>
      </c>
    </row>
    <row r="47" spans="1:9" x14ac:dyDescent="0.2">
      <c r="A47" s="96" t="s">
        <v>156</v>
      </c>
      <c r="B47" s="97">
        <v>0.18100000000000002</v>
      </c>
      <c r="C47" s="33">
        <f>28.52/100</f>
        <v>0.28520000000000001</v>
      </c>
      <c r="D47" s="98">
        <v>0.52900000000000003</v>
      </c>
      <c r="E47" s="33">
        <f>89.37/100</f>
        <v>0.89370000000000005</v>
      </c>
      <c r="F47" s="98">
        <v>0.218</v>
      </c>
      <c r="G47" s="33">
        <f>36.81/100</f>
        <v>0.36810000000000004</v>
      </c>
      <c r="H47" s="98">
        <v>0.45700000000000002</v>
      </c>
      <c r="I47" s="33">
        <f>59.33/100</f>
        <v>0.59329999999999994</v>
      </c>
    </row>
    <row r="48" spans="1:9" x14ac:dyDescent="0.2">
      <c r="C48" s="378">
        <f>C47-B47</f>
        <v>0.10419999999999999</v>
      </c>
      <c r="E48" s="378">
        <f>E47-D47</f>
        <v>0.36470000000000002</v>
      </c>
      <c r="G48" s="378">
        <f>G47-F47</f>
        <v>0.15010000000000004</v>
      </c>
      <c r="I48" s="378">
        <f>I47-H47</f>
        <v>0.13629999999999992</v>
      </c>
    </row>
    <row r="49" spans="3:8" x14ac:dyDescent="0.2">
      <c r="D49" s="33" t="s">
        <v>134</v>
      </c>
      <c r="E49" s="32" t="s">
        <v>135</v>
      </c>
      <c r="F49" s="32" t="s">
        <v>153</v>
      </c>
      <c r="G49" s="32" t="s">
        <v>154</v>
      </c>
      <c r="H49" s="32" t="s">
        <v>155</v>
      </c>
    </row>
    <row r="50" spans="3:8" x14ac:dyDescent="0.2">
      <c r="C50" s="32" t="s">
        <v>274</v>
      </c>
      <c r="D50" s="102">
        <f>C41*100</f>
        <v>47.3</v>
      </c>
      <c r="E50" s="102">
        <f>C42*100</f>
        <v>40.6</v>
      </c>
      <c r="F50" s="102">
        <f>C43*100</f>
        <v>31.8</v>
      </c>
      <c r="G50" s="102">
        <f>C44*100</f>
        <v>30.7</v>
      </c>
      <c r="H50" s="102">
        <f>C45*100</f>
        <v>23</v>
      </c>
    </row>
    <row r="51" spans="3:8" x14ac:dyDescent="0.2">
      <c r="C51" s="32" t="s">
        <v>129</v>
      </c>
      <c r="D51" s="102">
        <f>E41*100</f>
        <v>41</v>
      </c>
      <c r="E51" s="102">
        <f>E42*100</f>
        <v>44.1</v>
      </c>
      <c r="F51" s="102">
        <f>E43*100</f>
        <v>46.2</v>
      </c>
      <c r="G51" s="102">
        <f>E44*100</f>
        <v>86.7</v>
      </c>
      <c r="H51" s="102">
        <f>E45*100</f>
        <v>96.2</v>
      </c>
    </row>
    <row r="52" spans="3:8" x14ac:dyDescent="0.2">
      <c r="C52" s="32" t="s">
        <v>131</v>
      </c>
      <c r="D52" s="102">
        <f>G41*100</f>
        <v>61.8</v>
      </c>
      <c r="E52" s="102">
        <f>G42*100</f>
        <v>55.7</v>
      </c>
      <c r="F52" s="102">
        <f>G43*100</f>
        <v>47</v>
      </c>
      <c r="G52" s="102">
        <f>G44*100</f>
        <v>39.300000000000004</v>
      </c>
      <c r="H52" s="102">
        <f>G45*100</f>
        <v>28.9</v>
      </c>
    </row>
    <row r="53" spans="3:8" x14ac:dyDescent="0.2">
      <c r="C53" s="32" t="s">
        <v>130</v>
      </c>
      <c r="D53" s="102">
        <f>I41*100</f>
        <v>81.100000000000009</v>
      </c>
      <c r="E53" s="102">
        <f>I42*100</f>
        <v>75.5</v>
      </c>
      <c r="F53" s="102">
        <f>I43*100</f>
        <v>61.5</v>
      </c>
      <c r="G53" s="102">
        <f>I44*100</f>
        <v>45</v>
      </c>
      <c r="H53" s="102">
        <f>I45*100</f>
        <v>32.1</v>
      </c>
    </row>
  </sheetData>
  <mergeCells count="9">
    <mergeCell ref="T1:Y1"/>
    <mergeCell ref="B34:C34"/>
    <mergeCell ref="D34:E34"/>
    <mergeCell ref="H34:I34"/>
    <mergeCell ref="F34:G34"/>
    <mergeCell ref="B33:I33"/>
    <mergeCell ref="B1:G1"/>
    <mergeCell ref="H1:M1"/>
    <mergeCell ref="N1:S1"/>
  </mergeCells>
  <pageMargins left="0.25" right="0.25" top="0.75" bottom="0.75" header="0.49212598499999999" footer="0.49212598499999999"/>
  <pageSetup scale="57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Page1</vt:lpstr>
      <vt:lpstr>Page2</vt:lpstr>
      <vt:lpstr>Page3</vt:lpstr>
      <vt:lpstr>Page4</vt:lpstr>
      <vt:lpstr>Data</vt:lpstr>
      <vt:lpstr>Data!Print_Area</vt:lpstr>
      <vt:lpstr>Page1!Print_Area</vt:lpstr>
      <vt:lpstr>Page2!Print_Area</vt:lpstr>
      <vt:lpstr>Page3!Print_Area</vt:lpstr>
      <vt:lpstr>Page4!Print_Area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ESA Intranet</dc:title>
  <dc:creator>Guy Ishikawa</dc:creator>
  <cp:lastModifiedBy>Jan Havlíček</cp:lastModifiedBy>
  <cp:lastPrinted>2001-01-19T18:26:27Z</cp:lastPrinted>
  <dcterms:created xsi:type="dcterms:W3CDTF">2000-08-01T19:08:21Z</dcterms:created>
  <dcterms:modified xsi:type="dcterms:W3CDTF">2023-09-13T17:35:49Z</dcterms:modified>
</cp:coreProperties>
</file>