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520DDE-9C26-426E-B718-16734DFDD82A}" xr6:coauthVersionLast="47" xr6:coauthVersionMax="47" xr10:uidLastSave="{00000000-0000-0000-0000-000000000000}"/>
  <bookViews>
    <workbookView xWindow="-120" yWindow="-120" windowWidth="38640" windowHeight="15720"/>
  </bookViews>
  <sheets>
    <sheet name="2001 Summary" sheetId="6" r:id="rId1"/>
    <sheet name="Trades Agustin" sheetId="9" r:id="rId2"/>
    <sheet name="2000 Summary " sheetId="3" r:id="rId3"/>
    <sheet name="2000 detail" sheetId="4" r:id="rId4"/>
    <sheet name="1999" sheetId="1" r:id="rId5"/>
  </sheets>
  <externalReferences>
    <externalReference r:id="rId6"/>
    <externalReference r:id="rId7"/>
  </externalReferences>
  <definedNames>
    <definedName name="_xlnm._FilterDatabase" localSheetId="3" hidden="1">'2000 detail'!$A$1:$AB$721</definedName>
    <definedName name="_xlnm._FilterDatabase" localSheetId="1" hidden="1">'Trades Agustin'!$A$1:$AD$218</definedName>
    <definedName name="Column" localSheetId="1">[2]Prices!$A$2:$T$3</definedName>
    <definedName name="Column">[1]Prices!$A$2:$T$3</definedName>
    <definedName name="DTITLE">#REF!</definedName>
    <definedName name="FWD_Prices" localSheetId="1">'[2]FWD Prices'!$A$4:$T$267</definedName>
    <definedName name="FWD_Prices">'[1]FWD Prices'!$A$4:$T$267</definedName>
    <definedName name="Prices" localSheetId="1">[2]Prices!$A$4:$T$267</definedName>
    <definedName name="Prices">[1]Prices!$A$4:$T$267</definedName>
    <definedName name="_xlnm.Print_Area" localSheetId="3">'2000 detail'!$A$1:$O$798</definedName>
    <definedName name="Print_Area_MI">#REF!</definedName>
    <definedName name="_xlnm.Print_Titles" localSheetId="4">'1999'!$1:$1</definedName>
    <definedName name="_xlnm.Print_Titles" localSheetId="3">'2000 detail'!$1:$2</definedName>
    <definedName name="_xlnm.Print_Titles" localSheetId="2">'2000 Summary '!$4:$5</definedName>
    <definedName name="_xlnm.Print_Titles" localSheetId="0">'2001 Summary'!$5:$6</definedName>
    <definedName name="_xlnm.Print_Titles" localSheetId="1">'Trades Agustin'!$1:$4</definedName>
    <definedName name="Print_Titles_MI">#REF!</definedName>
    <definedName name="TITLE">#REF!</definedName>
    <definedName name="wrn.RollDetail.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J7" i="1"/>
  <c r="J8" i="1"/>
  <c r="J10" i="1"/>
  <c r="J21" i="1"/>
  <c r="J22" i="1"/>
  <c r="J23" i="1"/>
  <c r="J24" i="1"/>
  <c r="J25" i="1"/>
  <c r="J26" i="1"/>
  <c r="J27" i="1"/>
  <c r="J28" i="1"/>
  <c r="M28" i="1"/>
  <c r="N28" i="1"/>
  <c r="G55" i="1"/>
  <c r="J55" i="1"/>
  <c r="G56" i="1"/>
  <c r="K3" i="4"/>
  <c r="N3" i="4"/>
  <c r="O3" i="4"/>
  <c r="I6" i="4"/>
  <c r="N6" i="4"/>
  <c r="O6" i="4"/>
  <c r="T6" i="4"/>
  <c r="V6" i="4"/>
  <c r="I7" i="4"/>
  <c r="N7" i="4"/>
  <c r="O7" i="4"/>
  <c r="T7" i="4"/>
  <c r="V7" i="4"/>
  <c r="I8" i="4"/>
  <c r="N8" i="4"/>
  <c r="O8" i="4"/>
  <c r="T8" i="4"/>
  <c r="V8" i="4"/>
  <c r="I9" i="4"/>
  <c r="N9" i="4"/>
  <c r="O9" i="4"/>
  <c r="T9" i="4"/>
  <c r="V9" i="4"/>
  <c r="I10" i="4"/>
  <c r="N10" i="4"/>
  <c r="O10" i="4"/>
  <c r="T10" i="4"/>
  <c r="V10" i="4"/>
  <c r="I11" i="4"/>
  <c r="N11" i="4"/>
  <c r="O11" i="4"/>
  <c r="T11" i="4"/>
  <c r="V11" i="4"/>
  <c r="I12" i="4"/>
  <c r="N12" i="4"/>
  <c r="O12" i="4"/>
  <c r="T12" i="4"/>
  <c r="V12" i="4"/>
  <c r="I13" i="4"/>
  <c r="N13" i="4"/>
  <c r="O13" i="4"/>
  <c r="U13" i="4"/>
  <c r="V13" i="4"/>
  <c r="I14" i="4"/>
  <c r="N14" i="4"/>
  <c r="O14" i="4"/>
  <c r="U14" i="4"/>
  <c r="V14" i="4"/>
  <c r="W14" i="4"/>
  <c r="I16" i="4"/>
  <c r="N16" i="4"/>
  <c r="O16" i="4"/>
  <c r="T16" i="4"/>
  <c r="V16" i="4"/>
  <c r="I17" i="4"/>
  <c r="N17" i="4"/>
  <c r="O17" i="4"/>
  <c r="T17" i="4"/>
  <c r="V17" i="4"/>
  <c r="I18" i="4"/>
  <c r="N18" i="4"/>
  <c r="O18" i="4"/>
  <c r="T18" i="4"/>
  <c r="V18" i="4"/>
  <c r="I19" i="4"/>
  <c r="N19" i="4"/>
  <c r="O19" i="4"/>
  <c r="T19" i="4"/>
  <c r="V19" i="4"/>
  <c r="I20" i="4"/>
  <c r="N20" i="4"/>
  <c r="O20" i="4"/>
  <c r="T20" i="4"/>
  <c r="V20" i="4"/>
  <c r="I21" i="4"/>
  <c r="N21" i="4"/>
  <c r="O21" i="4"/>
  <c r="T21" i="4"/>
  <c r="V21" i="4"/>
  <c r="I22" i="4"/>
  <c r="N22" i="4"/>
  <c r="O22" i="4"/>
  <c r="U22" i="4"/>
  <c r="V22" i="4"/>
  <c r="I23" i="4"/>
  <c r="N23" i="4"/>
  <c r="O23" i="4"/>
  <c r="U23" i="4"/>
  <c r="V23" i="4"/>
  <c r="W23" i="4"/>
  <c r="I25" i="4"/>
  <c r="O25" i="4"/>
  <c r="T25" i="4"/>
  <c r="I26" i="4"/>
  <c r="O26" i="4"/>
  <c r="T26" i="4"/>
  <c r="I27" i="4"/>
  <c r="O27" i="4"/>
  <c r="I28" i="4"/>
  <c r="O28" i="4"/>
  <c r="T28" i="4"/>
  <c r="I29" i="4"/>
  <c r="O29" i="4"/>
  <c r="T29" i="4"/>
  <c r="I30" i="4"/>
  <c r="O30" i="4"/>
  <c r="I32" i="4"/>
  <c r="O32" i="4"/>
  <c r="T32" i="4"/>
  <c r="I33" i="4"/>
  <c r="O33" i="4"/>
  <c r="T33" i="4"/>
  <c r="I34" i="4"/>
  <c r="O34" i="4"/>
  <c r="I35" i="4"/>
  <c r="O35" i="4"/>
  <c r="T35" i="4"/>
  <c r="I36" i="4"/>
  <c r="O36" i="4"/>
  <c r="T36" i="4"/>
  <c r="I37" i="4"/>
  <c r="O37" i="4"/>
  <c r="I39" i="4"/>
  <c r="O39" i="4"/>
  <c r="I40" i="4"/>
  <c r="O40" i="4"/>
  <c r="I41" i="4"/>
  <c r="O41" i="4"/>
  <c r="I42" i="4"/>
  <c r="O42" i="4"/>
  <c r="I43" i="4"/>
  <c r="O43" i="4"/>
  <c r="T43" i="4"/>
  <c r="I44" i="4"/>
  <c r="O44" i="4"/>
  <c r="I46" i="4"/>
  <c r="O46" i="4"/>
  <c r="I47" i="4"/>
  <c r="O47" i="4"/>
  <c r="T47" i="4"/>
  <c r="I48" i="4"/>
  <c r="O48" i="4"/>
  <c r="I49" i="4"/>
  <c r="O49" i="4"/>
  <c r="T49" i="4"/>
  <c r="I50" i="4"/>
  <c r="O50" i="4"/>
  <c r="T50" i="4"/>
  <c r="I51" i="4"/>
  <c r="O51" i="4"/>
  <c r="I52" i="4"/>
  <c r="O52" i="4"/>
  <c r="I53" i="4"/>
  <c r="O53" i="4"/>
  <c r="I54" i="4"/>
  <c r="O54" i="4"/>
  <c r="I56" i="4"/>
  <c r="O56" i="4"/>
  <c r="I57" i="4"/>
  <c r="O57" i="4"/>
  <c r="I58" i="4"/>
  <c r="O58" i="4"/>
  <c r="I59" i="4"/>
  <c r="O59" i="4"/>
  <c r="I60" i="4"/>
  <c r="O60" i="4"/>
  <c r="T60" i="4"/>
  <c r="I61" i="4"/>
  <c r="O61" i="4"/>
  <c r="I63" i="4"/>
  <c r="O63" i="4"/>
  <c r="I64" i="4"/>
  <c r="O64" i="4"/>
  <c r="I65" i="4"/>
  <c r="O65" i="4"/>
  <c r="I66" i="4"/>
  <c r="O66" i="4"/>
  <c r="I67" i="4"/>
  <c r="O67" i="4"/>
  <c r="T67" i="4"/>
  <c r="I68" i="4"/>
  <c r="O68" i="4"/>
  <c r="I70" i="4"/>
  <c r="O70" i="4"/>
  <c r="I71" i="4"/>
  <c r="O71" i="4"/>
  <c r="I72" i="4"/>
  <c r="O72" i="4"/>
  <c r="I73" i="4"/>
  <c r="O73" i="4"/>
  <c r="I74" i="4"/>
  <c r="O74" i="4"/>
  <c r="T74" i="4"/>
  <c r="I75" i="4"/>
  <c r="O75" i="4"/>
  <c r="I77" i="4"/>
  <c r="O77" i="4"/>
  <c r="I78" i="4"/>
  <c r="O78" i="4"/>
  <c r="I79" i="4"/>
  <c r="O79" i="4"/>
  <c r="I80" i="4"/>
  <c r="O80" i="4"/>
  <c r="I81" i="4"/>
  <c r="O81" i="4"/>
  <c r="T81" i="4"/>
  <c r="I82" i="4"/>
  <c r="O82" i="4"/>
  <c r="I84" i="4"/>
  <c r="O84" i="4"/>
  <c r="I85" i="4"/>
  <c r="O85" i="4"/>
  <c r="I86" i="4"/>
  <c r="O86" i="4"/>
  <c r="I87" i="4"/>
  <c r="O87" i="4"/>
  <c r="I88" i="4"/>
  <c r="O88" i="4"/>
  <c r="T88" i="4"/>
  <c r="I89" i="4"/>
  <c r="O89" i="4"/>
  <c r="I91" i="4"/>
  <c r="O91" i="4"/>
  <c r="I92" i="4"/>
  <c r="O92" i="4"/>
  <c r="I93" i="4"/>
  <c r="O93" i="4"/>
  <c r="I94" i="4"/>
  <c r="O94" i="4"/>
  <c r="I95" i="4"/>
  <c r="O95" i="4"/>
  <c r="T95" i="4"/>
  <c r="I96" i="4"/>
  <c r="O96" i="4"/>
  <c r="I98" i="4"/>
  <c r="N98" i="4"/>
  <c r="O98" i="4"/>
  <c r="T98" i="4"/>
  <c r="I99" i="4"/>
  <c r="N99" i="4"/>
  <c r="O99" i="4"/>
  <c r="T99" i="4"/>
  <c r="I100" i="4"/>
  <c r="N100" i="4"/>
  <c r="O100" i="4"/>
  <c r="T100" i="4"/>
  <c r="I101" i="4"/>
  <c r="N101" i="4"/>
  <c r="O101" i="4"/>
  <c r="T101" i="4"/>
  <c r="I102" i="4"/>
  <c r="N102" i="4"/>
  <c r="O102" i="4"/>
  <c r="T102" i="4"/>
  <c r="I103" i="4"/>
  <c r="N103" i="4"/>
  <c r="O103" i="4"/>
  <c r="U103" i="4"/>
  <c r="I105" i="4"/>
  <c r="O105" i="4"/>
  <c r="I106" i="4"/>
  <c r="O106" i="4"/>
  <c r="I107" i="4"/>
  <c r="O107" i="4"/>
  <c r="I108" i="4"/>
  <c r="O108" i="4"/>
  <c r="I109" i="4"/>
  <c r="O109" i="4"/>
  <c r="T109" i="4"/>
  <c r="I110" i="4"/>
  <c r="O110" i="4"/>
  <c r="I112" i="4"/>
  <c r="O112" i="4"/>
  <c r="I113" i="4"/>
  <c r="O113" i="4"/>
  <c r="I114" i="4"/>
  <c r="O114" i="4"/>
  <c r="I115" i="4"/>
  <c r="O115" i="4"/>
  <c r="I116" i="4"/>
  <c r="O116" i="4"/>
  <c r="T116" i="4"/>
  <c r="I117" i="4"/>
  <c r="O117" i="4"/>
  <c r="I119" i="4"/>
  <c r="O119" i="4"/>
  <c r="I120" i="4"/>
  <c r="O120" i="4"/>
  <c r="I121" i="4"/>
  <c r="O121" i="4"/>
  <c r="I122" i="4"/>
  <c r="O122" i="4"/>
  <c r="I123" i="4"/>
  <c r="O123" i="4"/>
  <c r="T123" i="4"/>
  <c r="I124" i="4"/>
  <c r="O124" i="4"/>
  <c r="I126" i="4"/>
  <c r="N126" i="4"/>
  <c r="O126" i="4"/>
  <c r="T126" i="4"/>
  <c r="I127" i="4"/>
  <c r="N127" i="4"/>
  <c r="O127" i="4"/>
  <c r="T127" i="4"/>
  <c r="I128" i="4"/>
  <c r="N128" i="4"/>
  <c r="O128" i="4"/>
  <c r="T128" i="4"/>
  <c r="I129" i="4"/>
  <c r="N129" i="4"/>
  <c r="O129" i="4"/>
  <c r="T129" i="4"/>
  <c r="I130" i="4"/>
  <c r="N130" i="4"/>
  <c r="O130" i="4"/>
  <c r="T130" i="4"/>
  <c r="I131" i="4"/>
  <c r="N131" i="4"/>
  <c r="O131" i="4"/>
  <c r="I132" i="4"/>
  <c r="N132" i="4"/>
  <c r="I133" i="4"/>
  <c r="N133" i="4"/>
  <c r="I134" i="4"/>
  <c r="N134" i="4"/>
  <c r="I135" i="4"/>
  <c r="N135" i="4"/>
  <c r="I136" i="4"/>
  <c r="N136" i="4"/>
  <c r="I137" i="4"/>
  <c r="N137" i="4"/>
  <c r="I139" i="4"/>
  <c r="O139" i="4"/>
  <c r="I140" i="4"/>
  <c r="O140" i="4"/>
  <c r="I141" i="4"/>
  <c r="O141" i="4"/>
  <c r="I142" i="4"/>
  <c r="O142" i="4"/>
  <c r="T142" i="4"/>
  <c r="I143" i="4"/>
  <c r="O143" i="4"/>
  <c r="T143" i="4"/>
  <c r="I144" i="4"/>
  <c r="O144" i="4"/>
  <c r="I146" i="4"/>
  <c r="O146" i="4"/>
  <c r="I147" i="4"/>
  <c r="K147" i="4"/>
  <c r="O147" i="4"/>
  <c r="I148" i="4"/>
  <c r="K148" i="4"/>
  <c r="O148" i="4"/>
  <c r="I149" i="4"/>
  <c r="K149" i="4"/>
  <c r="O149" i="4"/>
  <c r="T149" i="4"/>
  <c r="I150" i="4"/>
  <c r="K150" i="4"/>
  <c r="O150" i="4"/>
  <c r="T150" i="4"/>
  <c r="I151" i="4"/>
  <c r="K151" i="4"/>
  <c r="O151" i="4"/>
  <c r="I153" i="4"/>
  <c r="O153" i="4"/>
  <c r="I154" i="4"/>
  <c r="K154" i="4"/>
  <c r="O154" i="4"/>
  <c r="I155" i="4"/>
  <c r="K155" i="4"/>
  <c r="O155" i="4"/>
  <c r="I156" i="4"/>
  <c r="K156" i="4"/>
  <c r="O156" i="4"/>
  <c r="T156" i="4"/>
  <c r="I157" i="4"/>
  <c r="K157" i="4"/>
  <c r="O157" i="4"/>
  <c r="T157" i="4"/>
  <c r="I158" i="4"/>
  <c r="K158" i="4"/>
  <c r="O158" i="4"/>
  <c r="I160" i="4"/>
  <c r="O160" i="4"/>
  <c r="I161" i="4"/>
  <c r="K161" i="4"/>
  <c r="O161" i="4"/>
  <c r="I162" i="4"/>
  <c r="K162" i="4"/>
  <c r="O162" i="4"/>
  <c r="I163" i="4"/>
  <c r="K163" i="4"/>
  <c r="O163" i="4"/>
  <c r="T163" i="4"/>
  <c r="I164" i="4"/>
  <c r="K164" i="4"/>
  <c r="O164" i="4"/>
  <c r="T164" i="4"/>
  <c r="I165" i="4"/>
  <c r="K165" i="4"/>
  <c r="O165" i="4"/>
  <c r="I167" i="4"/>
  <c r="O167" i="4"/>
  <c r="I168" i="4"/>
  <c r="K168" i="4"/>
  <c r="O168" i="4"/>
  <c r="I169" i="4"/>
  <c r="K169" i="4"/>
  <c r="O169" i="4"/>
  <c r="I170" i="4"/>
  <c r="K170" i="4"/>
  <c r="O170" i="4"/>
  <c r="T170" i="4"/>
  <c r="I171" i="4"/>
  <c r="K171" i="4"/>
  <c r="O171" i="4"/>
  <c r="T171" i="4"/>
  <c r="I172" i="4"/>
  <c r="K172" i="4"/>
  <c r="O172" i="4"/>
  <c r="I174" i="4"/>
  <c r="O174" i="4"/>
  <c r="I175" i="4"/>
  <c r="K175" i="4"/>
  <c r="O175" i="4"/>
  <c r="I176" i="4"/>
  <c r="K176" i="4"/>
  <c r="O176" i="4"/>
  <c r="I177" i="4"/>
  <c r="K177" i="4"/>
  <c r="O177" i="4"/>
  <c r="T177" i="4"/>
  <c r="I178" i="4"/>
  <c r="K178" i="4"/>
  <c r="O178" i="4"/>
  <c r="T178" i="4"/>
  <c r="I179" i="4"/>
  <c r="K179" i="4"/>
  <c r="O179" i="4"/>
  <c r="I181" i="4"/>
  <c r="O181" i="4"/>
  <c r="I182" i="4"/>
  <c r="K182" i="4"/>
  <c r="O182" i="4"/>
  <c r="I183" i="4"/>
  <c r="K183" i="4"/>
  <c r="O183" i="4"/>
  <c r="I184" i="4"/>
  <c r="K184" i="4"/>
  <c r="O184" i="4"/>
  <c r="T184" i="4"/>
  <c r="I185" i="4"/>
  <c r="K185" i="4"/>
  <c r="O185" i="4"/>
  <c r="T185" i="4"/>
  <c r="I186" i="4"/>
  <c r="K186" i="4"/>
  <c r="O186" i="4"/>
  <c r="I188" i="4"/>
  <c r="O188" i="4"/>
  <c r="I189" i="4"/>
  <c r="K189" i="4"/>
  <c r="O189" i="4"/>
  <c r="I190" i="4"/>
  <c r="K190" i="4"/>
  <c r="O190" i="4"/>
  <c r="I191" i="4"/>
  <c r="K191" i="4"/>
  <c r="O191" i="4"/>
  <c r="T191" i="4"/>
  <c r="I192" i="4"/>
  <c r="K192" i="4"/>
  <c r="O192" i="4"/>
  <c r="T192" i="4"/>
  <c r="I193" i="4"/>
  <c r="K193" i="4"/>
  <c r="O193" i="4"/>
  <c r="I195" i="4"/>
  <c r="O195" i="4"/>
  <c r="I196" i="4"/>
  <c r="K196" i="4"/>
  <c r="O196" i="4"/>
  <c r="I197" i="4"/>
  <c r="K197" i="4"/>
  <c r="O197" i="4"/>
  <c r="I198" i="4"/>
  <c r="K198" i="4"/>
  <c r="O198" i="4"/>
  <c r="T198" i="4"/>
  <c r="I199" i="4"/>
  <c r="K199" i="4"/>
  <c r="O199" i="4"/>
  <c r="T199" i="4"/>
  <c r="I200" i="4"/>
  <c r="K200" i="4"/>
  <c r="O200" i="4"/>
  <c r="I202" i="4"/>
  <c r="O202" i="4"/>
  <c r="I203" i="4"/>
  <c r="K203" i="4"/>
  <c r="O203" i="4"/>
  <c r="I204" i="4"/>
  <c r="K204" i="4"/>
  <c r="O204" i="4"/>
  <c r="I205" i="4"/>
  <c r="K205" i="4"/>
  <c r="O205" i="4"/>
  <c r="T205" i="4"/>
  <c r="I206" i="4"/>
  <c r="K206" i="4"/>
  <c r="O206" i="4"/>
  <c r="T206" i="4"/>
  <c r="I207" i="4"/>
  <c r="K207" i="4"/>
  <c r="O207" i="4"/>
  <c r="I209" i="4"/>
  <c r="O209" i="4"/>
  <c r="I210" i="4"/>
  <c r="K210" i="4"/>
  <c r="O210" i="4"/>
  <c r="I211" i="4"/>
  <c r="K211" i="4"/>
  <c r="O211" i="4"/>
  <c r="I212" i="4"/>
  <c r="K212" i="4"/>
  <c r="O212" i="4"/>
  <c r="T212" i="4"/>
  <c r="I213" i="4"/>
  <c r="K213" i="4"/>
  <c r="O213" i="4"/>
  <c r="T213" i="4"/>
  <c r="I214" i="4"/>
  <c r="K214" i="4"/>
  <c r="O214" i="4"/>
  <c r="I216" i="4"/>
  <c r="O216" i="4"/>
  <c r="I217" i="4"/>
  <c r="K217" i="4"/>
  <c r="O217" i="4"/>
  <c r="I218" i="4"/>
  <c r="K218" i="4"/>
  <c r="O218" i="4"/>
  <c r="I219" i="4"/>
  <c r="K219" i="4"/>
  <c r="O219" i="4"/>
  <c r="T219" i="4"/>
  <c r="I220" i="4"/>
  <c r="K220" i="4"/>
  <c r="O220" i="4"/>
  <c r="T220" i="4"/>
  <c r="I221" i="4"/>
  <c r="K221" i="4"/>
  <c r="O221" i="4"/>
  <c r="I223" i="4"/>
  <c r="O223" i="4"/>
  <c r="I224" i="4"/>
  <c r="K224" i="4"/>
  <c r="O224" i="4"/>
  <c r="I225" i="4"/>
  <c r="K225" i="4"/>
  <c r="O225" i="4"/>
  <c r="I226" i="4"/>
  <c r="K226" i="4"/>
  <c r="O226" i="4"/>
  <c r="T226" i="4"/>
  <c r="I227" i="4"/>
  <c r="K227" i="4"/>
  <c r="O227" i="4"/>
  <c r="T227" i="4"/>
  <c r="I228" i="4"/>
  <c r="K228" i="4"/>
  <c r="O228" i="4"/>
  <c r="I230" i="4"/>
  <c r="O230" i="4"/>
  <c r="I231" i="4"/>
  <c r="K231" i="4"/>
  <c r="O231" i="4"/>
  <c r="I232" i="4"/>
  <c r="K232" i="4"/>
  <c r="O232" i="4"/>
  <c r="I233" i="4"/>
  <c r="K233" i="4"/>
  <c r="O233" i="4"/>
  <c r="T233" i="4"/>
  <c r="I234" i="4"/>
  <c r="K234" i="4"/>
  <c r="O234" i="4"/>
  <c r="T234" i="4"/>
  <c r="I235" i="4"/>
  <c r="K235" i="4"/>
  <c r="O235" i="4"/>
  <c r="I237" i="4"/>
  <c r="O237" i="4"/>
  <c r="I238" i="4"/>
  <c r="K238" i="4"/>
  <c r="O238" i="4"/>
  <c r="I239" i="4"/>
  <c r="K239" i="4"/>
  <c r="O239" i="4"/>
  <c r="I240" i="4"/>
  <c r="K240" i="4"/>
  <c r="O240" i="4"/>
  <c r="T240" i="4"/>
  <c r="I241" i="4"/>
  <c r="K241" i="4"/>
  <c r="O241" i="4"/>
  <c r="T241" i="4"/>
  <c r="I242" i="4"/>
  <c r="K242" i="4"/>
  <c r="O242" i="4"/>
  <c r="I244" i="4"/>
  <c r="O244" i="4"/>
  <c r="I245" i="4"/>
  <c r="K245" i="4"/>
  <c r="O245" i="4"/>
  <c r="I246" i="4"/>
  <c r="K246" i="4"/>
  <c r="O246" i="4"/>
  <c r="I247" i="4"/>
  <c r="K247" i="4"/>
  <c r="O247" i="4"/>
  <c r="T247" i="4"/>
  <c r="I248" i="4"/>
  <c r="K248" i="4"/>
  <c r="O248" i="4"/>
  <c r="T248" i="4"/>
  <c r="I249" i="4"/>
  <c r="K249" i="4"/>
  <c r="O249" i="4"/>
  <c r="I251" i="4"/>
  <c r="O251" i="4"/>
  <c r="I252" i="4"/>
  <c r="K252" i="4"/>
  <c r="O252" i="4"/>
  <c r="I253" i="4"/>
  <c r="K253" i="4"/>
  <c r="O253" i="4"/>
  <c r="I254" i="4"/>
  <c r="K254" i="4"/>
  <c r="O254" i="4"/>
  <c r="T254" i="4"/>
  <c r="I255" i="4"/>
  <c r="K255" i="4"/>
  <c r="O255" i="4"/>
  <c r="T255" i="4"/>
  <c r="I256" i="4"/>
  <c r="K256" i="4"/>
  <c r="O256" i="4"/>
  <c r="I258" i="4"/>
  <c r="O258" i="4"/>
  <c r="I259" i="4"/>
  <c r="K259" i="4"/>
  <c r="O259" i="4"/>
  <c r="I260" i="4"/>
  <c r="K260" i="4"/>
  <c r="O260" i="4"/>
  <c r="I261" i="4"/>
  <c r="K261" i="4"/>
  <c r="O261" i="4"/>
  <c r="T261" i="4"/>
  <c r="I262" i="4"/>
  <c r="K262" i="4"/>
  <c r="O262" i="4"/>
  <c r="T262" i="4"/>
  <c r="I263" i="4"/>
  <c r="K263" i="4"/>
  <c r="O263" i="4"/>
  <c r="I265" i="4"/>
  <c r="O265" i="4"/>
  <c r="I266" i="4"/>
  <c r="K266" i="4"/>
  <c r="O266" i="4"/>
  <c r="I267" i="4"/>
  <c r="K267" i="4"/>
  <c r="O267" i="4"/>
  <c r="I268" i="4"/>
  <c r="K268" i="4"/>
  <c r="O268" i="4"/>
  <c r="T268" i="4"/>
  <c r="I269" i="4"/>
  <c r="K269" i="4"/>
  <c r="O269" i="4"/>
  <c r="T269" i="4"/>
  <c r="I270" i="4"/>
  <c r="K270" i="4"/>
  <c r="O270" i="4"/>
  <c r="I272" i="4"/>
  <c r="O272" i="4"/>
  <c r="I273" i="4"/>
  <c r="K273" i="4"/>
  <c r="O273" i="4"/>
  <c r="I274" i="4"/>
  <c r="K274" i="4"/>
  <c r="O274" i="4"/>
  <c r="I275" i="4"/>
  <c r="K275" i="4"/>
  <c r="O275" i="4"/>
  <c r="T275" i="4"/>
  <c r="I276" i="4"/>
  <c r="K276" i="4"/>
  <c r="O276" i="4"/>
  <c r="T276" i="4"/>
  <c r="I277" i="4"/>
  <c r="K277" i="4"/>
  <c r="O277" i="4"/>
  <c r="I279" i="4"/>
  <c r="O279" i="4"/>
  <c r="I280" i="4"/>
  <c r="K280" i="4"/>
  <c r="O280" i="4"/>
  <c r="I281" i="4"/>
  <c r="K281" i="4"/>
  <c r="O281" i="4"/>
  <c r="I282" i="4"/>
  <c r="K282" i="4"/>
  <c r="O282" i="4"/>
  <c r="T282" i="4"/>
  <c r="I283" i="4"/>
  <c r="K283" i="4"/>
  <c r="O283" i="4"/>
  <c r="T283" i="4"/>
  <c r="I284" i="4"/>
  <c r="K284" i="4"/>
  <c r="O284" i="4"/>
  <c r="I286" i="4"/>
  <c r="O286" i="4"/>
  <c r="I287" i="4"/>
  <c r="K287" i="4"/>
  <c r="O287" i="4"/>
  <c r="I288" i="4"/>
  <c r="K288" i="4"/>
  <c r="O288" i="4"/>
  <c r="I289" i="4"/>
  <c r="K289" i="4"/>
  <c r="O289" i="4"/>
  <c r="T289" i="4"/>
  <c r="I290" i="4"/>
  <c r="K290" i="4"/>
  <c r="O290" i="4"/>
  <c r="T290" i="4"/>
  <c r="I291" i="4"/>
  <c r="K291" i="4"/>
  <c r="O291" i="4"/>
  <c r="I293" i="4"/>
  <c r="O293" i="4"/>
  <c r="I294" i="4"/>
  <c r="K294" i="4"/>
  <c r="O294" i="4"/>
  <c r="I295" i="4"/>
  <c r="K295" i="4"/>
  <c r="O295" i="4"/>
  <c r="I296" i="4"/>
  <c r="K296" i="4"/>
  <c r="O296" i="4"/>
  <c r="T296" i="4"/>
  <c r="I297" i="4"/>
  <c r="K297" i="4"/>
  <c r="O297" i="4"/>
  <c r="T297" i="4"/>
  <c r="I298" i="4"/>
  <c r="K298" i="4"/>
  <c r="O298" i="4"/>
  <c r="I300" i="4"/>
  <c r="I301" i="4"/>
  <c r="I302" i="4"/>
  <c r="I303" i="4"/>
  <c r="I304" i="4"/>
  <c r="T304" i="4"/>
  <c r="I305" i="4"/>
  <c r="I307" i="4"/>
  <c r="O307" i="4"/>
  <c r="I308" i="4"/>
  <c r="O308" i="4"/>
  <c r="I309" i="4"/>
  <c r="O309" i="4"/>
  <c r="I310" i="4"/>
  <c r="O310" i="4"/>
  <c r="I311" i="4"/>
  <c r="O311" i="4"/>
  <c r="T311" i="4"/>
  <c r="I312" i="4"/>
  <c r="O312" i="4"/>
  <c r="I314" i="4"/>
  <c r="N314" i="4"/>
  <c r="O314" i="4"/>
  <c r="I315" i="4"/>
  <c r="N315" i="4"/>
  <c r="O315" i="4"/>
  <c r="T315" i="4"/>
  <c r="I316" i="4"/>
  <c r="N316" i="4"/>
  <c r="O316" i="4"/>
  <c r="I317" i="4"/>
  <c r="N317" i="4"/>
  <c r="O317" i="4"/>
  <c r="T317" i="4"/>
  <c r="I318" i="4"/>
  <c r="N318" i="4"/>
  <c r="O318" i="4"/>
  <c r="T318" i="4"/>
  <c r="I319" i="4"/>
  <c r="N319" i="4"/>
  <c r="O319" i="4"/>
  <c r="I321" i="4"/>
  <c r="O321" i="4"/>
  <c r="I322" i="4"/>
  <c r="O322" i="4"/>
  <c r="T322" i="4"/>
  <c r="I323" i="4"/>
  <c r="O323" i="4"/>
  <c r="I324" i="4"/>
  <c r="O324" i="4"/>
  <c r="T324" i="4"/>
  <c r="I325" i="4"/>
  <c r="O325" i="4"/>
  <c r="T325" i="4"/>
  <c r="I326" i="4"/>
  <c r="O326" i="4"/>
  <c r="I328" i="4"/>
  <c r="O328" i="4"/>
  <c r="I329" i="4"/>
  <c r="O329" i="4"/>
  <c r="T329" i="4"/>
  <c r="I330" i="4"/>
  <c r="O330" i="4"/>
  <c r="I331" i="4"/>
  <c r="O331" i="4"/>
  <c r="T331" i="4"/>
  <c r="I332" i="4"/>
  <c r="O332" i="4"/>
  <c r="T332" i="4"/>
  <c r="I333" i="4"/>
  <c r="O333" i="4"/>
  <c r="I335" i="4"/>
  <c r="O335" i="4"/>
  <c r="I336" i="4"/>
  <c r="O336" i="4"/>
  <c r="T336" i="4"/>
  <c r="I337" i="4"/>
  <c r="O337" i="4"/>
  <c r="I338" i="4"/>
  <c r="O338" i="4"/>
  <c r="T338" i="4"/>
  <c r="I339" i="4"/>
  <c r="O339" i="4"/>
  <c r="T339" i="4"/>
  <c r="I340" i="4"/>
  <c r="O340" i="4"/>
  <c r="I342" i="4"/>
  <c r="O342" i="4"/>
  <c r="I343" i="4"/>
  <c r="O343" i="4"/>
  <c r="I344" i="4"/>
  <c r="O344" i="4"/>
  <c r="I345" i="4"/>
  <c r="O345" i="4"/>
  <c r="I346" i="4"/>
  <c r="O346" i="4"/>
  <c r="T346" i="4"/>
  <c r="I347" i="4"/>
  <c r="O347" i="4"/>
  <c r="I349" i="4"/>
  <c r="O349" i="4"/>
  <c r="I350" i="4"/>
  <c r="O350" i="4"/>
  <c r="I351" i="4"/>
  <c r="O351" i="4"/>
  <c r="I352" i="4"/>
  <c r="O352" i="4"/>
  <c r="I353" i="4"/>
  <c r="O353" i="4"/>
  <c r="T353" i="4"/>
  <c r="I354" i="4"/>
  <c r="O354" i="4"/>
  <c r="I356" i="4"/>
  <c r="N356" i="4"/>
  <c r="O356" i="4"/>
  <c r="T356" i="4"/>
  <c r="I357" i="4"/>
  <c r="N357" i="4"/>
  <c r="O357" i="4"/>
  <c r="T357" i="4"/>
  <c r="I358" i="4"/>
  <c r="N358" i="4"/>
  <c r="O358" i="4"/>
  <c r="T358" i="4"/>
  <c r="I359" i="4"/>
  <c r="N359" i="4"/>
  <c r="O359" i="4"/>
  <c r="T359" i="4"/>
  <c r="I360" i="4"/>
  <c r="N360" i="4"/>
  <c r="O360" i="4"/>
  <c r="T360" i="4"/>
  <c r="I361" i="4"/>
  <c r="N361" i="4"/>
  <c r="O361" i="4"/>
  <c r="U361" i="4"/>
  <c r="I363" i="4"/>
  <c r="N363" i="4"/>
  <c r="O363" i="4"/>
  <c r="T363" i="4"/>
  <c r="I364" i="4"/>
  <c r="N364" i="4"/>
  <c r="O364" i="4"/>
  <c r="T364" i="4"/>
  <c r="I365" i="4"/>
  <c r="N365" i="4"/>
  <c r="O365" i="4"/>
  <c r="T365" i="4"/>
  <c r="I366" i="4"/>
  <c r="N366" i="4"/>
  <c r="O366" i="4"/>
  <c r="T366" i="4"/>
  <c r="I367" i="4"/>
  <c r="N367" i="4"/>
  <c r="O367" i="4"/>
  <c r="T367" i="4"/>
  <c r="I368" i="4"/>
  <c r="N368" i="4"/>
  <c r="O368" i="4"/>
  <c r="U368" i="4"/>
  <c r="I370" i="4"/>
  <c r="O370" i="4"/>
  <c r="I371" i="4"/>
  <c r="O371" i="4"/>
  <c r="I372" i="4"/>
  <c r="O372" i="4"/>
  <c r="I373" i="4"/>
  <c r="O373" i="4"/>
  <c r="I374" i="4"/>
  <c r="O374" i="4"/>
  <c r="T374" i="4"/>
  <c r="I375" i="4"/>
  <c r="O375" i="4"/>
  <c r="I377" i="4"/>
  <c r="N377" i="4"/>
  <c r="O377" i="4"/>
  <c r="Q377" i="4"/>
  <c r="T377" i="4"/>
  <c r="I378" i="4"/>
  <c r="N378" i="4"/>
  <c r="O378" i="4"/>
  <c r="I379" i="4"/>
  <c r="N379" i="4"/>
  <c r="O379" i="4"/>
  <c r="I380" i="4"/>
  <c r="N380" i="4"/>
  <c r="O380" i="4"/>
  <c r="I381" i="4"/>
  <c r="N381" i="4"/>
  <c r="O381" i="4"/>
  <c r="I382" i="4"/>
  <c r="N382" i="4"/>
  <c r="O382" i="4"/>
  <c r="I384" i="4"/>
  <c r="O384" i="4"/>
  <c r="I385" i="4"/>
  <c r="O385" i="4"/>
  <c r="T385" i="4"/>
  <c r="I386" i="4"/>
  <c r="O386" i="4"/>
  <c r="I387" i="4"/>
  <c r="O387" i="4"/>
  <c r="T387" i="4"/>
  <c r="I388" i="4"/>
  <c r="O388" i="4"/>
  <c r="T388" i="4"/>
  <c r="I389" i="4"/>
  <c r="O389" i="4"/>
  <c r="I391" i="4"/>
  <c r="N391" i="4"/>
  <c r="O391" i="4"/>
  <c r="I392" i="4"/>
  <c r="N392" i="4"/>
  <c r="O392" i="4"/>
  <c r="Q392" i="4"/>
  <c r="T392" i="4"/>
  <c r="I393" i="4"/>
  <c r="N393" i="4"/>
  <c r="O393" i="4"/>
  <c r="I394" i="4"/>
  <c r="N394" i="4"/>
  <c r="O394" i="4"/>
  <c r="T394" i="4"/>
  <c r="I395" i="4"/>
  <c r="N395" i="4"/>
  <c r="O395" i="4"/>
  <c r="T395" i="4"/>
  <c r="I396" i="4"/>
  <c r="N396" i="4"/>
  <c r="O396" i="4"/>
  <c r="I398" i="4"/>
  <c r="N398" i="4"/>
  <c r="O398" i="4"/>
  <c r="T398" i="4"/>
  <c r="I399" i="4"/>
  <c r="N399" i="4"/>
  <c r="O399" i="4"/>
  <c r="T399" i="4"/>
  <c r="I400" i="4"/>
  <c r="N400" i="4"/>
  <c r="O400" i="4"/>
  <c r="T400" i="4"/>
  <c r="I401" i="4"/>
  <c r="N401" i="4"/>
  <c r="O401" i="4"/>
  <c r="T401" i="4"/>
  <c r="I402" i="4"/>
  <c r="N402" i="4"/>
  <c r="O402" i="4"/>
  <c r="T402" i="4"/>
  <c r="I403" i="4"/>
  <c r="N403" i="4"/>
  <c r="O403" i="4"/>
  <c r="I405" i="4"/>
  <c r="O405" i="4"/>
  <c r="I406" i="4"/>
  <c r="O406" i="4"/>
  <c r="I407" i="4"/>
  <c r="O407" i="4"/>
  <c r="I408" i="4"/>
  <c r="O408" i="4"/>
  <c r="I409" i="4"/>
  <c r="O409" i="4"/>
  <c r="T409" i="4"/>
  <c r="I410" i="4"/>
  <c r="O410" i="4"/>
  <c r="I412" i="4"/>
  <c r="O412" i="4"/>
  <c r="I413" i="4"/>
  <c r="O413" i="4"/>
  <c r="I414" i="4"/>
  <c r="O414" i="4"/>
  <c r="I415" i="4"/>
  <c r="O415" i="4"/>
  <c r="I416" i="4"/>
  <c r="O416" i="4"/>
  <c r="T416" i="4"/>
  <c r="I417" i="4"/>
  <c r="O417" i="4"/>
  <c r="I419" i="4"/>
  <c r="O419" i="4"/>
  <c r="I420" i="4"/>
  <c r="O420" i="4"/>
  <c r="I421" i="4"/>
  <c r="O421" i="4"/>
  <c r="I422" i="4"/>
  <c r="O422" i="4"/>
  <c r="I423" i="4"/>
  <c r="O423" i="4"/>
  <c r="T423" i="4"/>
  <c r="I424" i="4"/>
  <c r="O424" i="4"/>
  <c r="I426" i="4"/>
  <c r="O426" i="4"/>
  <c r="I427" i="4"/>
  <c r="O427" i="4"/>
  <c r="I428" i="4"/>
  <c r="O428" i="4"/>
  <c r="I429" i="4"/>
  <c r="O429" i="4"/>
  <c r="I430" i="4"/>
  <c r="O430" i="4"/>
  <c r="T430" i="4"/>
  <c r="I431" i="4"/>
  <c r="O431" i="4"/>
  <c r="I433" i="4"/>
  <c r="O433" i="4"/>
  <c r="I434" i="4"/>
  <c r="O434" i="4"/>
  <c r="I435" i="4"/>
  <c r="O435" i="4"/>
  <c r="I436" i="4"/>
  <c r="O436" i="4"/>
  <c r="I437" i="4"/>
  <c r="O437" i="4"/>
  <c r="T437" i="4"/>
  <c r="I438" i="4"/>
  <c r="O438" i="4"/>
  <c r="I440" i="4"/>
  <c r="N440" i="4"/>
  <c r="O440" i="4"/>
  <c r="T440" i="4"/>
  <c r="I441" i="4"/>
  <c r="N441" i="4"/>
  <c r="O441" i="4"/>
  <c r="T441" i="4"/>
  <c r="I442" i="4"/>
  <c r="N442" i="4"/>
  <c r="O442" i="4"/>
  <c r="T442" i="4"/>
  <c r="I443" i="4"/>
  <c r="N443" i="4"/>
  <c r="O443" i="4"/>
  <c r="T443" i="4"/>
  <c r="I444" i="4"/>
  <c r="N444" i="4"/>
  <c r="O444" i="4"/>
  <c r="T444" i="4"/>
  <c r="I445" i="4"/>
  <c r="N445" i="4"/>
  <c r="O445" i="4"/>
  <c r="U445" i="4"/>
  <c r="I446" i="4"/>
  <c r="N446" i="4"/>
  <c r="O446" i="4"/>
  <c r="U446" i="4"/>
  <c r="I447" i="4"/>
  <c r="N447" i="4"/>
  <c r="O447" i="4"/>
  <c r="U447" i="4"/>
  <c r="I448" i="4"/>
  <c r="N448" i="4"/>
  <c r="O448" i="4"/>
  <c r="U448" i="4"/>
  <c r="I450" i="4"/>
  <c r="N450" i="4"/>
  <c r="O450" i="4"/>
  <c r="T450" i="4"/>
  <c r="I451" i="4"/>
  <c r="N451" i="4"/>
  <c r="O451" i="4"/>
  <c r="T451" i="4"/>
  <c r="I452" i="4"/>
  <c r="N452" i="4"/>
  <c r="O452" i="4"/>
  <c r="T452" i="4"/>
  <c r="I453" i="4"/>
  <c r="N453" i="4"/>
  <c r="O453" i="4"/>
  <c r="T453" i="4"/>
  <c r="I454" i="4"/>
  <c r="N454" i="4"/>
  <c r="O454" i="4"/>
  <c r="T454" i="4"/>
  <c r="I455" i="4"/>
  <c r="N455" i="4"/>
  <c r="O455" i="4"/>
  <c r="U455" i="4"/>
  <c r="I456" i="4"/>
  <c r="N456" i="4"/>
  <c r="O456" i="4"/>
  <c r="U456" i="4"/>
  <c r="I457" i="4"/>
  <c r="N457" i="4"/>
  <c r="O457" i="4"/>
  <c r="U457" i="4"/>
  <c r="I458" i="4"/>
  <c r="N458" i="4"/>
  <c r="O458" i="4"/>
  <c r="U458" i="4"/>
  <c r="I460" i="4"/>
  <c r="N460" i="4"/>
  <c r="O460" i="4"/>
  <c r="T460" i="4"/>
  <c r="I461" i="4"/>
  <c r="N461" i="4"/>
  <c r="O461" i="4"/>
  <c r="T461" i="4"/>
  <c r="I462" i="4"/>
  <c r="N462" i="4"/>
  <c r="O462" i="4"/>
  <c r="I463" i="4"/>
  <c r="N463" i="4"/>
  <c r="O463" i="4"/>
  <c r="I464" i="4"/>
  <c r="N464" i="4"/>
  <c r="O464" i="4"/>
  <c r="I465" i="4"/>
  <c r="N465" i="4"/>
  <c r="O465" i="4"/>
  <c r="I466" i="4"/>
  <c r="N466" i="4"/>
  <c r="O466" i="4"/>
  <c r="I467" i="4"/>
  <c r="N467" i="4"/>
  <c r="O467" i="4"/>
  <c r="I468" i="4"/>
  <c r="N468" i="4"/>
  <c r="O468" i="4"/>
  <c r="I469" i="4"/>
  <c r="N469" i="4"/>
  <c r="O469" i="4"/>
  <c r="I470" i="4"/>
  <c r="N470" i="4"/>
  <c r="O470" i="4"/>
  <c r="I471" i="4"/>
  <c r="N471" i="4"/>
  <c r="O471" i="4"/>
  <c r="I472" i="4"/>
  <c r="N472" i="4"/>
  <c r="O472" i="4"/>
  <c r="I473" i="4"/>
  <c r="N473" i="4"/>
  <c r="O473" i="4"/>
  <c r="I474" i="4"/>
  <c r="N474" i="4"/>
  <c r="O474" i="4"/>
  <c r="I475" i="4"/>
  <c r="N475" i="4"/>
  <c r="O475" i="4"/>
  <c r="I476" i="4"/>
  <c r="N476" i="4"/>
  <c r="O476" i="4"/>
  <c r="I477" i="4"/>
  <c r="N477" i="4"/>
  <c r="O477" i="4"/>
  <c r="I478" i="4"/>
  <c r="N478" i="4"/>
  <c r="O478" i="4"/>
  <c r="I479" i="4"/>
  <c r="N479" i="4"/>
  <c r="O479" i="4"/>
  <c r="I480" i="4"/>
  <c r="N480" i="4"/>
  <c r="O480" i="4"/>
  <c r="I481" i="4"/>
  <c r="N481" i="4"/>
  <c r="O481" i="4"/>
  <c r="I482" i="4"/>
  <c r="N482" i="4"/>
  <c r="O482" i="4"/>
  <c r="I483" i="4"/>
  <c r="N483" i="4"/>
  <c r="O483" i="4"/>
  <c r="I484" i="4"/>
  <c r="N484" i="4"/>
  <c r="O484" i="4"/>
  <c r="I485" i="4"/>
  <c r="N485" i="4"/>
  <c r="O485" i="4"/>
  <c r="I486" i="4"/>
  <c r="N486" i="4"/>
  <c r="O486" i="4"/>
  <c r="I487" i="4"/>
  <c r="N487" i="4"/>
  <c r="O487" i="4"/>
  <c r="I488" i="4"/>
  <c r="N488" i="4"/>
  <c r="O488" i="4"/>
  <c r="I489" i="4"/>
  <c r="N489" i="4"/>
  <c r="O489" i="4"/>
  <c r="I490" i="4"/>
  <c r="N490" i="4"/>
  <c r="O490" i="4"/>
  <c r="I491" i="4"/>
  <c r="N491" i="4"/>
  <c r="O491" i="4"/>
  <c r="I492" i="4"/>
  <c r="N492" i="4"/>
  <c r="O492" i="4"/>
  <c r="I493" i="4"/>
  <c r="N493" i="4"/>
  <c r="O493" i="4"/>
  <c r="I494" i="4"/>
  <c r="N494" i="4"/>
  <c r="O494" i="4"/>
  <c r="I495" i="4"/>
  <c r="N495" i="4"/>
  <c r="O495" i="4"/>
  <c r="I496" i="4"/>
  <c r="N496" i="4"/>
  <c r="O496" i="4"/>
  <c r="I497" i="4"/>
  <c r="N497" i="4"/>
  <c r="O497" i="4"/>
  <c r="I498" i="4"/>
  <c r="N498" i="4"/>
  <c r="O498" i="4"/>
  <c r="I499" i="4"/>
  <c r="N499" i="4"/>
  <c r="O499" i="4"/>
  <c r="I500" i="4"/>
  <c r="N500" i="4"/>
  <c r="O500" i="4"/>
  <c r="I501" i="4"/>
  <c r="N501" i="4"/>
  <c r="O501" i="4"/>
  <c r="I502" i="4"/>
  <c r="N502" i="4"/>
  <c r="O502" i="4"/>
  <c r="I503" i="4"/>
  <c r="N503" i="4"/>
  <c r="O503" i="4"/>
  <c r="I504" i="4"/>
  <c r="N504" i="4"/>
  <c r="O504" i="4"/>
  <c r="I505" i="4"/>
  <c r="N505" i="4"/>
  <c r="O505" i="4"/>
  <c r="I506" i="4"/>
  <c r="N506" i="4"/>
  <c r="O506" i="4"/>
  <c r="I507" i="4"/>
  <c r="N507" i="4"/>
  <c r="O507" i="4"/>
  <c r="I508" i="4"/>
  <c r="N508" i="4"/>
  <c r="O508" i="4"/>
  <c r="I509" i="4"/>
  <c r="N509" i="4"/>
  <c r="O509" i="4"/>
  <c r="I510" i="4"/>
  <c r="N510" i="4"/>
  <c r="O510" i="4"/>
  <c r="I511" i="4"/>
  <c r="N511" i="4"/>
  <c r="O511" i="4"/>
  <c r="I512" i="4"/>
  <c r="N512" i="4"/>
  <c r="O512" i="4"/>
  <c r="I513" i="4"/>
  <c r="N513" i="4"/>
  <c r="O513" i="4"/>
  <c r="I514" i="4"/>
  <c r="N514" i="4"/>
  <c r="O514" i="4"/>
  <c r="I515" i="4"/>
  <c r="N515" i="4"/>
  <c r="O515" i="4"/>
  <c r="I516" i="4"/>
  <c r="N516" i="4"/>
  <c r="O516" i="4"/>
  <c r="I517" i="4"/>
  <c r="N517" i="4"/>
  <c r="O517" i="4"/>
  <c r="I518" i="4"/>
  <c r="N518" i="4"/>
  <c r="O518" i="4"/>
  <c r="I519" i="4"/>
  <c r="N519" i="4"/>
  <c r="O519" i="4"/>
  <c r="I522" i="4"/>
  <c r="N522" i="4"/>
  <c r="O522" i="4"/>
  <c r="T522" i="4"/>
  <c r="I523" i="4"/>
  <c r="N523" i="4"/>
  <c r="O523" i="4"/>
  <c r="T523" i="4"/>
  <c r="I524" i="4"/>
  <c r="N524" i="4"/>
  <c r="O524" i="4"/>
  <c r="T524" i="4"/>
  <c r="I525" i="4"/>
  <c r="N525" i="4"/>
  <c r="O525" i="4"/>
  <c r="T525" i="4"/>
  <c r="I526" i="4"/>
  <c r="N526" i="4"/>
  <c r="O526" i="4"/>
  <c r="I527" i="4"/>
  <c r="N527" i="4"/>
  <c r="O527" i="4"/>
  <c r="I528" i="4"/>
  <c r="N528" i="4"/>
  <c r="I529" i="4"/>
  <c r="N529" i="4"/>
  <c r="I530" i="4"/>
  <c r="N530" i="4"/>
  <c r="I531" i="4"/>
  <c r="N531" i="4"/>
  <c r="I532" i="4"/>
  <c r="N532" i="4"/>
  <c r="I533" i="4"/>
  <c r="N533" i="4"/>
  <c r="I535" i="4"/>
  <c r="O535" i="4"/>
  <c r="T535" i="4"/>
  <c r="I536" i="4"/>
  <c r="O536" i="4"/>
  <c r="T536" i="4"/>
  <c r="I537" i="4"/>
  <c r="O537" i="4"/>
  <c r="T537" i="4"/>
  <c r="I538" i="4"/>
  <c r="O538" i="4"/>
  <c r="I540" i="4"/>
  <c r="O540" i="4"/>
  <c r="T540" i="4"/>
  <c r="I541" i="4"/>
  <c r="O541" i="4"/>
  <c r="T541" i="4"/>
  <c r="I542" i="4"/>
  <c r="O542" i="4"/>
  <c r="T542" i="4"/>
  <c r="I543" i="4"/>
  <c r="O543" i="4"/>
  <c r="I545" i="4"/>
  <c r="O545" i="4"/>
  <c r="T545" i="4"/>
  <c r="I546" i="4"/>
  <c r="O546" i="4"/>
  <c r="T546" i="4"/>
  <c r="I547" i="4"/>
  <c r="O547" i="4"/>
  <c r="T547" i="4"/>
  <c r="I548" i="4"/>
  <c r="O548" i="4"/>
  <c r="I550" i="4"/>
  <c r="N550" i="4"/>
  <c r="O550" i="4"/>
  <c r="U550" i="4"/>
  <c r="I551" i="4"/>
  <c r="N551" i="4"/>
  <c r="O551" i="4"/>
  <c r="U551" i="4"/>
  <c r="I552" i="4"/>
  <c r="N552" i="4"/>
  <c r="O552" i="4"/>
  <c r="U552" i="4"/>
  <c r="I553" i="4"/>
  <c r="N553" i="4"/>
  <c r="O553" i="4"/>
  <c r="U553" i="4"/>
  <c r="I554" i="4"/>
  <c r="N554" i="4"/>
  <c r="O554" i="4"/>
  <c r="U554" i="4"/>
  <c r="I555" i="4"/>
  <c r="N555" i="4"/>
  <c r="O555" i="4"/>
  <c r="U555" i="4"/>
  <c r="I557" i="4"/>
  <c r="N557" i="4"/>
  <c r="O557" i="4"/>
  <c r="T557" i="4"/>
  <c r="I558" i="4"/>
  <c r="N558" i="4"/>
  <c r="O558" i="4"/>
  <c r="T558" i="4"/>
  <c r="I559" i="4"/>
  <c r="N559" i="4"/>
  <c r="O559" i="4"/>
  <c r="T559" i="4"/>
  <c r="I560" i="4"/>
  <c r="N560" i="4"/>
  <c r="O560" i="4"/>
  <c r="U560" i="4"/>
  <c r="I561" i="4"/>
  <c r="N561" i="4"/>
  <c r="O561" i="4"/>
  <c r="U561" i="4"/>
  <c r="I563" i="4"/>
  <c r="N563" i="4"/>
  <c r="O563" i="4"/>
  <c r="T563" i="4"/>
  <c r="I564" i="4"/>
  <c r="N564" i="4"/>
  <c r="O564" i="4"/>
  <c r="T564" i="4"/>
  <c r="I565" i="4"/>
  <c r="N565" i="4"/>
  <c r="O565" i="4"/>
  <c r="T565" i="4"/>
  <c r="I566" i="4"/>
  <c r="N566" i="4"/>
  <c r="O566" i="4"/>
  <c r="U566" i="4"/>
  <c r="I567" i="4"/>
  <c r="N567" i="4"/>
  <c r="O567" i="4"/>
  <c r="U567" i="4"/>
  <c r="I569" i="4"/>
  <c r="N569" i="4"/>
  <c r="O569" i="4"/>
  <c r="T569" i="4"/>
  <c r="I570" i="4"/>
  <c r="N570" i="4"/>
  <c r="O570" i="4"/>
  <c r="T570" i="4"/>
  <c r="I571" i="4"/>
  <c r="N571" i="4"/>
  <c r="O571" i="4"/>
  <c r="T571" i="4"/>
  <c r="I573" i="4"/>
  <c r="O573" i="4"/>
  <c r="I574" i="4"/>
  <c r="O574" i="4"/>
  <c r="T574" i="4"/>
  <c r="I576" i="4"/>
  <c r="N576" i="4"/>
  <c r="O576" i="4"/>
  <c r="T576" i="4"/>
  <c r="I578" i="4"/>
  <c r="N578" i="4"/>
  <c r="O578" i="4"/>
  <c r="T578" i="4"/>
  <c r="I579" i="4"/>
  <c r="N579" i="4"/>
  <c r="O579" i="4"/>
  <c r="T579" i="4"/>
  <c r="I580" i="4"/>
  <c r="N580" i="4"/>
  <c r="O580" i="4"/>
  <c r="T580" i="4"/>
  <c r="I581" i="4"/>
  <c r="N581" i="4"/>
  <c r="O581" i="4"/>
  <c r="U581" i="4"/>
  <c r="I582" i="4"/>
  <c r="N582" i="4"/>
  <c r="O582" i="4"/>
  <c r="U582" i="4"/>
  <c r="I584" i="4"/>
  <c r="N584" i="4"/>
  <c r="O584" i="4"/>
  <c r="T584" i="4"/>
  <c r="I585" i="4"/>
  <c r="N585" i="4"/>
  <c r="O585" i="4"/>
  <c r="T585" i="4"/>
  <c r="I586" i="4"/>
  <c r="N586" i="4"/>
  <c r="O586" i="4"/>
  <c r="T586" i="4"/>
  <c r="I587" i="4"/>
  <c r="N587" i="4"/>
  <c r="O587" i="4"/>
  <c r="I588" i="4"/>
  <c r="N588" i="4"/>
  <c r="O588" i="4"/>
  <c r="I590" i="4"/>
  <c r="N590" i="4"/>
  <c r="O590" i="4"/>
  <c r="T590" i="4"/>
  <c r="I591" i="4"/>
  <c r="N591" i="4"/>
  <c r="O591" i="4"/>
  <c r="T591" i="4"/>
  <c r="I592" i="4"/>
  <c r="N592" i="4"/>
  <c r="O592" i="4"/>
  <c r="T592" i="4"/>
  <c r="I593" i="4"/>
  <c r="N593" i="4"/>
  <c r="O593" i="4"/>
  <c r="U593" i="4"/>
  <c r="I594" i="4"/>
  <c r="N594" i="4"/>
  <c r="O594" i="4"/>
  <c r="U594" i="4"/>
  <c r="I596" i="4"/>
  <c r="N596" i="4"/>
  <c r="O596" i="4"/>
  <c r="U596" i="4"/>
  <c r="I597" i="4"/>
  <c r="K597" i="4"/>
  <c r="N597" i="4"/>
  <c r="O597" i="4"/>
  <c r="U597" i="4"/>
  <c r="I598" i="4"/>
  <c r="K598" i="4"/>
  <c r="N598" i="4"/>
  <c r="O598" i="4"/>
  <c r="U598" i="4"/>
  <c r="I599" i="4"/>
  <c r="K599" i="4"/>
  <c r="N599" i="4"/>
  <c r="O599" i="4"/>
  <c r="U599" i="4"/>
  <c r="I600" i="4"/>
  <c r="K600" i="4"/>
  <c r="N600" i="4"/>
  <c r="O600" i="4"/>
  <c r="U600" i="4"/>
  <c r="I601" i="4"/>
  <c r="K601" i="4"/>
  <c r="N601" i="4"/>
  <c r="O601" i="4"/>
  <c r="U601" i="4"/>
  <c r="I602" i="4"/>
  <c r="K602" i="4"/>
  <c r="N602" i="4"/>
  <c r="O602" i="4"/>
  <c r="U602" i="4"/>
  <c r="I603" i="4"/>
  <c r="K603" i="4"/>
  <c r="N603" i="4"/>
  <c r="O603" i="4"/>
  <c r="U603" i="4"/>
  <c r="I604" i="4"/>
  <c r="K604" i="4"/>
  <c r="N604" i="4"/>
  <c r="O604" i="4"/>
  <c r="U604" i="4"/>
  <c r="I605" i="4"/>
  <c r="K605" i="4"/>
  <c r="N605" i="4"/>
  <c r="O605" i="4"/>
  <c r="U605" i="4"/>
  <c r="I607" i="4"/>
  <c r="N607" i="4"/>
  <c r="O607" i="4"/>
  <c r="U607" i="4"/>
  <c r="I608" i="4"/>
  <c r="K608" i="4"/>
  <c r="N608" i="4"/>
  <c r="O608" i="4"/>
  <c r="U608" i="4"/>
  <c r="I609" i="4"/>
  <c r="K609" i="4"/>
  <c r="N609" i="4"/>
  <c r="O609" i="4"/>
  <c r="U609" i="4"/>
  <c r="I610" i="4"/>
  <c r="K610" i="4"/>
  <c r="N610" i="4"/>
  <c r="O610" i="4"/>
  <c r="U610" i="4"/>
  <c r="I611" i="4"/>
  <c r="K611" i="4"/>
  <c r="N611" i="4"/>
  <c r="O611" i="4"/>
  <c r="U611" i="4"/>
  <c r="I612" i="4"/>
  <c r="K612" i="4"/>
  <c r="N612" i="4"/>
  <c r="O612" i="4"/>
  <c r="U612" i="4"/>
  <c r="I613" i="4"/>
  <c r="K613" i="4"/>
  <c r="N613" i="4"/>
  <c r="O613" i="4"/>
  <c r="U613" i="4"/>
  <c r="I614" i="4"/>
  <c r="K614" i="4"/>
  <c r="N614" i="4"/>
  <c r="O614" i="4"/>
  <c r="U614" i="4"/>
  <c r="I615" i="4"/>
  <c r="K615" i="4"/>
  <c r="N615" i="4"/>
  <c r="O615" i="4"/>
  <c r="U615" i="4"/>
  <c r="I616" i="4"/>
  <c r="K616" i="4"/>
  <c r="N616" i="4"/>
  <c r="O616" i="4"/>
  <c r="U616" i="4"/>
  <c r="I618" i="4"/>
  <c r="N618" i="4"/>
  <c r="O618" i="4"/>
  <c r="I619" i="4"/>
  <c r="N619" i="4"/>
  <c r="O619" i="4"/>
  <c r="I620" i="4"/>
  <c r="N620" i="4"/>
  <c r="O620" i="4"/>
  <c r="I621" i="4"/>
  <c r="N621" i="4"/>
  <c r="O621" i="4"/>
  <c r="I622" i="4"/>
  <c r="N622" i="4"/>
  <c r="O622" i="4"/>
  <c r="I623" i="4"/>
  <c r="N623" i="4"/>
  <c r="O623" i="4"/>
  <c r="I624" i="4"/>
  <c r="N624" i="4"/>
  <c r="O624" i="4"/>
  <c r="I626" i="4"/>
  <c r="N626" i="4"/>
  <c r="O626" i="4"/>
  <c r="T626" i="4"/>
  <c r="I627" i="4"/>
  <c r="N627" i="4"/>
  <c r="O627" i="4"/>
  <c r="T627" i="4"/>
  <c r="I628" i="4"/>
  <c r="N628" i="4"/>
  <c r="O628" i="4"/>
  <c r="T628" i="4"/>
  <c r="I630" i="4"/>
  <c r="O630" i="4"/>
  <c r="T630" i="4"/>
  <c r="I631" i="4"/>
  <c r="O631" i="4"/>
  <c r="T631" i="4"/>
  <c r="I633" i="4"/>
  <c r="N633" i="4"/>
  <c r="O633" i="4"/>
  <c r="T633" i="4"/>
  <c r="I634" i="4"/>
  <c r="N634" i="4"/>
  <c r="O634" i="4"/>
  <c r="T634" i="4"/>
  <c r="I635" i="4"/>
  <c r="N635" i="4"/>
  <c r="O635" i="4"/>
  <c r="T635" i="4"/>
  <c r="I637" i="4"/>
  <c r="O637" i="4"/>
  <c r="T637" i="4"/>
  <c r="I638" i="4"/>
  <c r="O638" i="4"/>
  <c r="T638" i="4"/>
  <c r="I640" i="4"/>
  <c r="N640" i="4"/>
  <c r="O640" i="4"/>
  <c r="T640" i="4"/>
  <c r="I641" i="4"/>
  <c r="K641" i="4"/>
  <c r="N641" i="4"/>
  <c r="O641" i="4"/>
  <c r="T641" i="4"/>
  <c r="I642" i="4"/>
  <c r="K642" i="4"/>
  <c r="N642" i="4"/>
  <c r="O642" i="4"/>
  <c r="T642" i="4"/>
  <c r="I643" i="4"/>
  <c r="K643" i="4"/>
  <c r="N643" i="4"/>
  <c r="O643" i="4"/>
  <c r="U643" i="4"/>
  <c r="I644" i="4"/>
  <c r="K644" i="4"/>
  <c r="N644" i="4"/>
  <c r="O644" i="4"/>
  <c r="U644" i="4"/>
  <c r="I646" i="4"/>
  <c r="N646" i="4"/>
  <c r="O646" i="4"/>
  <c r="T646" i="4"/>
  <c r="I647" i="4"/>
  <c r="K647" i="4"/>
  <c r="M647" i="4"/>
  <c r="N647" i="4"/>
  <c r="O647" i="4"/>
  <c r="T647" i="4"/>
  <c r="I648" i="4"/>
  <c r="K648" i="4"/>
  <c r="M648" i="4"/>
  <c r="N648" i="4"/>
  <c r="O648" i="4"/>
  <c r="T648" i="4"/>
  <c r="I649" i="4"/>
  <c r="K649" i="4"/>
  <c r="M649" i="4"/>
  <c r="N649" i="4"/>
  <c r="O649" i="4"/>
  <c r="U649" i="4"/>
  <c r="I650" i="4"/>
  <c r="K650" i="4"/>
  <c r="M650" i="4"/>
  <c r="N650" i="4"/>
  <c r="O650" i="4"/>
  <c r="U650" i="4"/>
  <c r="I651" i="4"/>
  <c r="N651" i="4"/>
  <c r="O651" i="4"/>
  <c r="U651" i="4"/>
  <c r="I652" i="4"/>
  <c r="K652" i="4"/>
  <c r="M652" i="4"/>
  <c r="N652" i="4"/>
  <c r="O652" i="4"/>
  <c r="U652" i="4"/>
  <c r="I653" i="4"/>
  <c r="K653" i="4"/>
  <c r="M653" i="4"/>
  <c r="N653" i="4"/>
  <c r="O653" i="4"/>
  <c r="U653" i="4"/>
  <c r="I654" i="4"/>
  <c r="K654" i="4"/>
  <c r="M654" i="4"/>
  <c r="N654" i="4"/>
  <c r="O654" i="4"/>
  <c r="U654" i="4"/>
  <c r="I655" i="4"/>
  <c r="K655" i="4"/>
  <c r="M655" i="4"/>
  <c r="N655" i="4"/>
  <c r="O655" i="4"/>
  <c r="U655" i="4"/>
  <c r="I656" i="4"/>
  <c r="K656" i="4"/>
  <c r="M656" i="4"/>
  <c r="N656" i="4"/>
  <c r="O656" i="4"/>
  <c r="U656" i="4"/>
  <c r="I658" i="4"/>
  <c r="O658" i="4"/>
  <c r="T658" i="4"/>
  <c r="I659" i="4"/>
  <c r="O659" i="4"/>
  <c r="T659" i="4"/>
  <c r="I660" i="4"/>
  <c r="O660" i="4"/>
  <c r="T660" i="4"/>
  <c r="I662" i="4"/>
  <c r="O662" i="4"/>
  <c r="T662" i="4"/>
  <c r="I663" i="4"/>
  <c r="O663" i="4"/>
  <c r="T663" i="4"/>
  <c r="I664" i="4"/>
  <c r="O664" i="4"/>
  <c r="T664" i="4"/>
  <c r="I666" i="4"/>
  <c r="N666" i="4"/>
  <c r="O666" i="4"/>
  <c r="T666" i="4"/>
  <c r="I667" i="4"/>
  <c r="N667" i="4"/>
  <c r="O667" i="4"/>
  <c r="T667" i="4"/>
  <c r="I668" i="4"/>
  <c r="N668" i="4"/>
  <c r="O668" i="4"/>
  <c r="T668" i="4"/>
  <c r="I670" i="4"/>
  <c r="N670" i="4"/>
  <c r="O670" i="4"/>
  <c r="T670" i="4"/>
  <c r="I671" i="4"/>
  <c r="N671" i="4"/>
  <c r="O671" i="4"/>
  <c r="T671" i="4"/>
  <c r="I672" i="4"/>
  <c r="N672" i="4"/>
  <c r="O672" i="4"/>
  <c r="T672" i="4"/>
  <c r="I674" i="4"/>
  <c r="N674" i="4"/>
  <c r="O674" i="4"/>
  <c r="T674" i="4"/>
  <c r="I676" i="4"/>
  <c r="N676" i="4"/>
  <c r="O676" i="4"/>
  <c r="T676" i="4"/>
  <c r="I677" i="4"/>
  <c r="M677" i="4"/>
  <c r="N677" i="4"/>
  <c r="O677" i="4"/>
  <c r="T677" i="4"/>
  <c r="I678" i="4"/>
  <c r="M678" i="4"/>
  <c r="N678" i="4"/>
  <c r="O678" i="4"/>
  <c r="T678" i="4"/>
  <c r="I679" i="4"/>
  <c r="M679" i="4"/>
  <c r="N679" i="4"/>
  <c r="O679" i="4"/>
  <c r="U679" i="4"/>
  <c r="I680" i="4"/>
  <c r="M680" i="4"/>
  <c r="N680" i="4"/>
  <c r="O680" i="4"/>
  <c r="U680" i="4"/>
  <c r="I682" i="4"/>
  <c r="N682" i="4"/>
  <c r="O682" i="4"/>
  <c r="T682" i="4"/>
  <c r="I684" i="4"/>
  <c r="N684" i="4"/>
  <c r="O684" i="4"/>
  <c r="T684" i="4"/>
  <c r="I686" i="4"/>
  <c r="N686" i="4"/>
  <c r="O686" i="4"/>
  <c r="T686" i="4"/>
  <c r="I687" i="4"/>
  <c r="K687" i="4"/>
  <c r="N687" i="4"/>
  <c r="O687" i="4"/>
  <c r="I688" i="4"/>
  <c r="K688" i="4"/>
  <c r="N688" i="4"/>
  <c r="O688" i="4"/>
  <c r="I689" i="4"/>
  <c r="K689" i="4"/>
  <c r="N689" i="4"/>
  <c r="O689" i="4"/>
  <c r="I690" i="4"/>
  <c r="K690" i="4"/>
  <c r="N690" i="4"/>
  <c r="O690" i="4"/>
  <c r="I691" i="4"/>
  <c r="K691" i="4"/>
  <c r="N691" i="4"/>
  <c r="O691" i="4"/>
  <c r="I692" i="4"/>
  <c r="K692" i="4"/>
  <c r="N692" i="4"/>
  <c r="O692" i="4"/>
  <c r="I693" i="4"/>
  <c r="K693" i="4"/>
  <c r="N693" i="4"/>
  <c r="O693" i="4"/>
  <c r="I694" i="4"/>
  <c r="K694" i="4"/>
  <c r="N694" i="4"/>
  <c r="O694" i="4"/>
  <c r="I695" i="4"/>
  <c r="K695" i="4"/>
  <c r="N695" i="4"/>
  <c r="O695" i="4"/>
  <c r="I696" i="4"/>
  <c r="K696" i="4"/>
  <c r="N696" i="4"/>
  <c r="O696" i="4"/>
  <c r="I697" i="4"/>
  <c r="K697" i="4"/>
  <c r="N697" i="4"/>
  <c r="O697" i="4"/>
  <c r="I698" i="4"/>
  <c r="K698" i="4"/>
  <c r="N698" i="4"/>
  <c r="O698" i="4"/>
  <c r="I699" i="4"/>
  <c r="K699" i="4"/>
  <c r="N699" i="4"/>
  <c r="O699" i="4"/>
  <c r="I700" i="4"/>
  <c r="K700" i="4"/>
  <c r="N700" i="4"/>
  <c r="O700" i="4"/>
  <c r="I701" i="4"/>
  <c r="K701" i="4"/>
  <c r="N701" i="4"/>
  <c r="O701" i="4"/>
  <c r="I703" i="4"/>
  <c r="N703" i="4"/>
  <c r="O703" i="4"/>
  <c r="T703" i="4"/>
  <c r="K704" i="4"/>
  <c r="N704" i="4"/>
  <c r="O704" i="4"/>
  <c r="T704" i="4"/>
  <c r="I706" i="4"/>
  <c r="N706" i="4"/>
  <c r="O706" i="4"/>
  <c r="T706" i="4"/>
  <c r="I707" i="4"/>
  <c r="K707" i="4"/>
  <c r="N707" i="4"/>
  <c r="O707" i="4"/>
  <c r="T707" i="4"/>
  <c r="I708" i="4"/>
  <c r="K708" i="4"/>
  <c r="N708" i="4"/>
  <c r="O708" i="4"/>
  <c r="I709" i="4"/>
  <c r="K709" i="4"/>
  <c r="N709" i="4"/>
  <c r="O709" i="4"/>
  <c r="I711" i="4"/>
  <c r="N711" i="4"/>
  <c r="O711" i="4"/>
  <c r="T711" i="4"/>
  <c r="I712" i="4"/>
  <c r="K712" i="4"/>
  <c r="N712" i="4"/>
  <c r="O712" i="4"/>
  <c r="T712" i="4"/>
  <c r="I713" i="4"/>
  <c r="K713" i="4"/>
  <c r="N713" i="4"/>
  <c r="O713" i="4"/>
  <c r="I714" i="4"/>
  <c r="K714" i="4"/>
  <c r="N714" i="4"/>
  <c r="O714" i="4"/>
  <c r="I716" i="4"/>
  <c r="N716" i="4"/>
  <c r="O716" i="4"/>
  <c r="U716" i="4"/>
  <c r="I717" i="4"/>
  <c r="N717" i="4"/>
  <c r="O717" i="4"/>
  <c r="U717" i="4"/>
  <c r="I718" i="4"/>
  <c r="N718" i="4"/>
  <c r="O718" i="4"/>
  <c r="U718" i="4"/>
  <c r="I719" i="4"/>
  <c r="N719" i="4"/>
  <c r="O719" i="4"/>
  <c r="U719" i="4"/>
  <c r="I720" i="4"/>
  <c r="N720" i="4"/>
  <c r="O720" i="4"/>
  <c r="U720" i="4"/>
  <c r="I721" i="4"/>
  <c r="N721" i="4"/>
  <c r="O721" i="4"/>
  <c r="U721" i="4"/>
  <c r="I725" i="4"/>
  <c r="N725" i="4"/>
  <c r="O725" i="4"/>
  <c r="I726" i="4"/>
  <c r="K726" i="4"/>
  <c r="M726" i="4"/>
  <c r="N726" i="4"/>
  <c r="O726" i="4"/>
  <c r="I727" i="4"/>
  <c r="K727" i="4"/>
  <c r="M727" i="4"/>
  <c r="N727" i="4"/>
  <c r="O727" i="4"/>
  <c r="I728" i="4"/>
  <c r="K728" i="4"/>
  <c r="M728" i="4"/>
  <c r="N728" i="4"/>
  <c r="O728" i="4"/>
  <c r="I729" i="4"/>
  <c r="K729" i="4"/>
  <c r="M729" i="4"/>
  <c r="N729" i="4"/>
  <c r="O729" i="4"/>
  <c r="I730" i="4"/>
  <c r="K730" i="4"/>
  <c r="M730" i="4"/>
  <c r="N730" i="4"/>
  <c r="O730" i="4"/>
  <c r="I731" i="4"/>
  <c r="K731" i="4"/>
  <c r="M731" i="4"/>
  <c r="N731" i="4"/>
  <c r="O731" i="4"/>
  <c r="I732" i="4"/>
  <c r="K732" i="4"/>
  <c r="M732" i="4"/>
  <c r="N732" i="4"/>
  <c r="O732" i="4"/>
  <c r="I733" i="4"/>
  <c r="K733" i="4"/>
  <c r="M733" i="4"/>
  <c r="N733" i="4"/>
  <c r="O733" i="4"/>
  <c r="I734" i="4"/>
  <c r="K734" i="4"/>
  <c r="M734" i="4"/>
  <c r="N734" i="4"/>
  <c r="O734" i="4"/>
  <c r="I735" i="4"/>
  <c r="K735" i="4"/>
  <c r="M735" i="4"/>
  <c r="N735" i="4"/>
  <c r="O735" i="4"/>
  <c r="I736" i="4"/>
  <c r="K736" i="4"/>
  <c r="M736" i="4"/>
  <c r="N736" i="4"/>
  <c r="O736" i="4"/>
  <c r="I737" i="4"/>
  <c r="K737" i="4"/>
  <c r="M737" i="4"/>
  <c r="N737" i="4"/>
  <c r="O737" i="4"/>
  <c r="I738" i="4"/>
  <c r="K738" i="4"/>
  <c r="M738" i="4"/>
  <c r="N738" i="4"/>
  <c r="O738" i="4"/>
  <c r="I739" i="4"/>
  <c r="K739" i="4"/>
  <c r="M739" i="4"/>
  <c r="N739" i="4"/>
  <c r="O739" i="4"/>
  <c r="I740" i="4"/>
  <c r="K740" i="4"/>
  <c r="M740" i="4"/>
  <c r="N740" i="4"/>
  <c r="O740" i="4"/>
  <c r="I741" i="4"/>
  <c r="K741" i="4"/>
  <c r="M741" i="4"/>
  <c r="N741" i="4"/>
  <c r="O741" i="4"/>
  <c r="I742" i="4"/>
  <c r="K742" i="4"/>
  <c r="M742" i="4"/>
  <c r="N742" i="4"/>
  <c r="O742" i="4"/>
  <c r="I743" i="4"/>
  <c r="K743" i="4"/>
  <c r="M743" i="4"/>
  <c r="N743" i="4"/>
  <c r="O743" i="4"/>
  <c r="I744" i="4"/>
  <c r="K744" i="4"/>
  <c r="M744" i="4"/>
  <c r="N744" i="4"/>
  <c r="O744" i="4"/>
  <c r="I745" i="4"/>
  <c r="K745" i="4"/>
  <c r="M745" i="4"/>
  <c r="N745" i="4"/>
  <c r="O745" i="4"/>
  <c r="I746" i="4"/>
  <c r="K746" i="4"/>
  <c r="M746" i="4"/>
  <c r="N746" i="4"/>
  <c r="O746" i="4"/>
  <c r="I747" i="4"/>
  <c r="K747" i="4"/>
  <c r="M747" i="4"/>
  <c r="N747" i="4"/>
  <c r="O747" i="4"/>
  <c r="I748" i="4"/>
  <c r="K748" i="4"/>
  <c r="M748" i="4"/>
  <c r="N748" i="4"/>
  <c r="O748" i="4"/>
  <c r="I749" i="4"/>
  <c r="K749" i="4"/>
  <c r="M749" i="4"/>
  <c r="N749" i="4"/>
  <c r="O749" i="4"/>
  <c r="I750" i="4"/>
  <c r="K750" i="4"/>
  <c r="M750" i="4"/>
  <c r="N750" i="4"/>
  <c r="O750" i="4"/>
  <c r="I751" i="4"/>
  <c r="K751" i="4"/>
  <c r="M751" i="4"/>
  <c r="N751" i="4"/>
  <c r="O751" i="4"/>
  <c r="I752" i="4"/>
  <c r="K752" i="4"/>
  <c r="M752" i="4"/>
  <c r="N752" i="4"/>
  <c r="O752" i="4"/>
  <c r="I753" i="4"/>
  <c r="K753" i="4"/>
  <c r="M753" i="4"/>
  <c r="N753" i="4"/>
  <c r="O753" i="4"/>
  <c r="I754" i="4"/>
  <c r="K754" i="4"/>
  <c r="M754" i="4"/>
  <c r="N754" i="4"/>
  <c r="O754" i="4"/>
  <c r="I755" i="4"/>
  <c r="K755" i="4"/>
  <c r="M755" i="4"/>
  <c r="N755" i="4"/>
  <c r="O755" i="4"/>
  <c r="I756" i="4"/>
  <c r="K756" i="4"/>
  <c r="M756" i="4"/>
  <c r="N756" i="4"/>
  <c r="O756" i="4"/>
  <c r="I757" i="4"/>
  <c r="K757" i="4"/>
  <c r="M757" i="4"/>
  <c r="N757" i="4"/>
  <c r="O757" i="4"/>
  <c r="I758" i="4"/>
  <c r="K758" i="4"/>
  <c r="M758" i="4"/>
  <c r="N758" i="4"/>
  <c r="O758" i="4"/>
  <c r="I759" i="4"/>
  <c r="K759" i="4"/>
  <c r="M759" i="4"/>
  <c r="N759" i="4"/>
  <c r="O759" i="4"/>
  <c r="I760" i="4"/>
  <c r="K760" i="4"/>
  <c r="M760" i="4"/>
  <c r="N760" i="4"/>
  <c r="O760" i="4"/>
  <c r="I761" i="4"/>
  <c r="K761" i="4"/>
  <c r="M761" i="4"/>
  <c r="N761" i="4"/>
  <c r="O761" i="4"/>
  <c r="I762" i="4"/>
  <c r="K762" i="4"/>
  <c r="M762" i="4"/>
  <c r="N762" i="4"/>
  <c r="O762" i="4"/>
  <c r="I763" i="4"/>
  <c r="K763" i="4"/>
  <c r="M763" i="4"/>
  <c r="N763" i="4"/>
  <c r="O763" i="4"/>
  <c r="I764" i="4"/>
  <c r="K764" i="4"/>
  <c r="M764" i="4"/>
  <c r="N764" i="4"/>
  <c r="O764" i="4"/>
  <c r="I765" i="4"/>
  <c r="K765" i="4"/>
  <c r="M765" i="4"/>
  <c r="N765" i="4"/>
  <c r="O765" i="4"/>
  <c r="I766" i="4"/>
  <c r="K766" i="4"/>
  <c r="M766" i="4"/>
  <c r="N766" i="4"/>
  <c r="O766" i="4"/>
  <c r="I767" i="4"/>
  <c r="K767" i="4"/>
  <c r="M767" i="4"/>
  <c r="N767" i="4"/>
  <c r="O767" i="4"/>
  <c r="I769" i="4"/>
  <c r="N769" i="4"/>
  <c r="O769" i="4"/>
  <c r="T769" i="4"/>
  <c r="I770" i="4"/>
  <c r="N770" i="4"/>
  <c r="O770" i="4"/>
  <c r="T770" i="4"/>
  <c r="I772" i="4"/>
  <c r="N772" i="4"/>
  <c r="O772" i="4"/>
  <c r="T772" i="4"/>
  <c r="I773" i="4"/>
  <c r="N773" i="4"/>
  <c r="O773" i="4"/>
  <c r="T773" i="4"/>
  <c r="I774" i="4"/>
  <c r="N774" i="4"/>
  <c r="O774" i="4"/>
  <c r="T774" i="4"/>
  <c r="I776" i="4"/>
  <c r="O776" i="4"/>
  <c r="T776" i="4"/>
  <c r="I777" i="4"/>
  <c r="O777" i="4"/>
  <c r="I779" i="4"/>
  <c r="N779" i="4"/>
  <c r="O779" i="4"/>
  <c r="T779" i="4"/>
  <c r="I781" i="4"/>
  <c r="N781" i="4"/>
  <c r="O781" i="4"/>
  <c r="T781" i="4"/>
  <c r="I783" i="4"/>
  <c r="N783" i="4"/>
  <c r="O783" i="4"/>
  <c r="T783" i="4"/>
  <c r="I785" i="4"/>
  <c r="O785" i="4"/>
  <c r="T785" i="4"/>
  <c r="I787" i="4"/>
  <c r="O787" i="4"/>
  <c r="T787" i="4"/>
  <c r="I789" i="4"/>
  <c r="O789" i="4"/>
  <c r="T789" i="4"/>
  <c r="I791" i="4"/>
  <c r="O791" i="4"/>
  <c r="T791" i="4"/>
  <c r="I793" i="4"/>
  <c r="O793" i="4"/>
  <c r="T793" i="4"/>
  <c r="I795" i="4"/>
  <c r="N795" i="4"/>
  <c r="O795" i="4"/>
  <c r="T795" i="4"/>
  <c r="B2" i="3"/>
  <c r="F6" i="3"/>
  <c r="H6" i="3"/>
  <c r="L6" i="3"/>
  <c r="F7" i="3"/>
  <c r="H7" i="3"/>
  <c r="J7" i="3"/>
  <c r="L7" i="3"/>
  <c r="F9" i="3"/>
  <c r="H9" i="3"/>
  <c r="L9" i="3"/>
  <c r="F10" i="3"/>
  <c r="H10" i="3"/>
  <c r="J10" i="3"/>
  <c r="L10" i="3"/>
  <c r="F12" i="3"/>
  <c r="H12" i="3"/>
  <c r="J12" i="3"/>
  <c r="F13" i="3"/>
  <c r="H13" i="3"/>
  <c r="F15" i="3"/>
  <c r="H15" i="3"/>
  <c r="L15" i="3"/>
  <c r="F16" i="3"/>
  <c r="H16" i="3"/>
  <c r="F17" i="3"/>
  <c r="H17" i="3"/>
  <c r="F18" i="3"/>
  <c r="H18" i="3"/>
  <c r="F19" i="3"/>
  <c r="H19" i="3"/>
  <c r="F21" i="3"/>
  <c r="H21" i="3"/>
  <c r="L21" i="3"/>
  <c r="F22" i="3"/>
  <c r="H22" i="3"/>
  <c r="L22" i="3"/>
  <c r="F23" i="3"/>
  <c r="H23" i="3"/>
  <c r="L23" i="3"/>
  <c r="F25" i="3"/>
  <c r="H25" i="3"/>
  <c r="L25" i="3"/>
  <c r="F26" i="3"/>
  <c r="H26" i="3"/>
  <c r="F27" i="3"/>
  <c r="H27" i="3"/>
  <c r="F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8" i="3"/>
  <c r="H38" i="3"/>
  <c r="F39" i="3"/>
  <c r="H39" i="3"/>
  <c r="F40" i="3"/>
  <c r="H40" i="3"/>
  <c r="F41" i="3"/>
  <c r="H41" i="3"/>
  <c r="F42" i="3"/>
  <c r="H42" i="3"/>
  <c r="F43" i="3"/>
  <c r="H43" i="3"/>
  <c r="F44" i="3"/>
  <c r="H44" i="3"/>
  <c r="F45" i="3"/>
  <c r="H45" i="3"/>
  <c r="F46" i="3"/>
  <c r="H46" i="3"/>
  <c r="F47" i="3"/>
  <c r="H47" i="3"/>
  <c r="F48" i="3"/>
  <c r="H48" i="3"/>
  <c r="F49" i="3"/>
  <c r="H49" i="3"/>
  <c r="F50" i="3"/>
  <c r="H50" i="3"/>
  <c r="F51" i="3"/>
  <c r="H51" i="3"/>
  <c r="F52" i="3"/>
  <c r="H52" i="3"/>
  <c r="F53" i="3"/>
  <c r="F55" i="3"/>
  <c r="H55" i="3"/>
  <c r="L55" i="3"/>
  <c r="F56" i="3"/>
  <c r="H56" i="3"/>
  <c r="F57" i="3"/>
  <c r="H57" i="3"/>
  <c r="F58" i="3"/>
  <c r="F59" i="3"/>
  <c r="F60" i="3"/>
  <c r="F61" i="3"/>
  <c r="F63" i="3"/>
  <c r="H63" i="3"/>
  <c r="L63" i="3"/>
  <c r="F64" i="3"/>
  <c r="H64" i="3"/>
  <c r="L64" i="3"/>
  <c r="F66" i="3"/>
  <c r="H66" i="3"/>
  <c r="L66" i="3"/>
  <c r="F67" i="3"/>
  <c r="H67" i="3"/>
  <c r="F68" i="3"/>
  <c r="H68" i="3"/>
  <c r="F70" i="3"/>
  <c r="H70" i="3"/>
  <c r="L70" i="3"/>
  <c r="F71" i="3"/>
  <c r="H71" i="3"/>
  <c r="L71" i="3"/>
  <c r="F73" i="3"/>
  <c r="H73" i="3"/>
  <c r="L73" i="3"/>
  <c r="F74" i="3"/>
  <c r="H74" i="3"/>
  <c r="F75" i="3"/>
  <c r="H75" i="3"/>
  <c r="F76" i="3"/>
  <c r="H76" i="3"/>
  <c r="F77" i="3"/>
  <c r="H77" i="3"/>
  <c r="F79" i="3"/>
  <c r="H79" i="3"/>
  <c r="L79" i="3"/>
  <c r="F80" i="3"/>
  <c r="H80" i="3"/>
  <c r="L80" i="3"/>
  <c r="F81" i="3"/>
  <c r="H81" i="3"/>
  <c r="J81" i="3"/>
  <c r="L81" i="3"/>
  <c r="F83" i="3"/>
  <c r="H83" i="3"/>
  <c r="L83" i="3"/>
  <c r="F84" i="3"/>
  <c r="H84" i="3"/>
  <c r="L84" i="3"/>
  <c r="F86" i="3"/>
  <c r="H86" i="3"/>
  <c r="L86" i="3"/>
  <c r="F87" i="3"/>
  <c r="H87" i="3"/>
  <c r="F88" i="3"/>
  <c r="H88" i="3"/>
  <c r="F90" i="3"/>
  <c r="H90" i="3"/>
  <c r="L90" i="3"/>
  <c r="F91" i="3"/>
  <c r="H91" i="3"/>
  <c r="J91" i="3"/>
  <c r="L91" i="3"/>
  <c r="F93" i="3"/>
  <c r="H93" i="3"/>
  <c r="L93" i="3"/>
  <c r="F94" i="3"/>
  <c r="H94" i="3"/>
  <c r="F96" i="3"/>
  <c r="H96" i="3"/>
  <c r="L96" i="3"/>
  <c r="F98" i="3"/>
  <c r="H98" i="3"/>
  <c r="L98" i="3"/>
  <c r="F101" i="3"/>
  <c r="H101" i="3"/>
  <c r="L101" i="3"/>
  <c r="F102" i="3"/>
  <c r="H102" i="3"/>
  <c r="L102" i="3"/>
  <c r="F103" i="3"/>
  <c r="H103" i="3"/>
  <c r="L103" i="3"/>
  <c r="F104" i="3"/>
  <c r="H104" i="3"/>
  <c r="L104" i="3"/>
  <c r="F105" i="3"/>
  <c r="H105" i="3"/>
  <c r="L105" i="3"/>
  <c r="F106" i="3"/>
  <c r="H106" i="3"/>
  <c r="L106" i="3"/>
  <c r="F107" i="3"/>
  <c r="H107" i="3"/>
  <c r="L107" i="3"/>
  <c r="F108" i="3"/>
  <c r="H108" i="3"/>
  <c r="L108" i="3"/>
  <c r="F109" i="3"/>
  <c r="H109" i="3"/>
  <c r="L109" i="3"/>
  <c r="F110" i="3"/>
  <c r="H110" i="3"/>
  <c r="L110" i="3"/>
  <c r="F111" i="3"/>
  <c r="H111" i="3"/>
  <c r="L111" i="3"/>
  <c r="F112" i="3"/>
  <c r="H112" i="3"/>
  <c r="L112" i="3"/>
  <c r="F113" i="3"/>
  <c r="H113" i="3"/>
  <c r="L113" i="3"/>
  <c r="F114" i="3"/>
  <c r="H114" i="3"/>
  <c r="L114" i="3"/>
  <c r="F115" i="3"/>
  <c r="H115" i="3"/>
  <c r="L115" i="3"/>
  <c r="F116" i="3"/>
  <c r="H116" i="3"/>
  <c r="L116" i="3"/>
  <c r="L117" i="3"/>
  <c r="F118" i="3"/>
  <c r="H118" i="3"/>
  <c r="L118" i="3"/>
  <c r="L119" i="3"/>
  <c r="L120" i="3"/>
  <c r="F121" i="3"/>
  <c r="H121" i="3"/>
  <c r="L121" i="3"/>
  <c r="F122" i="3"/>
  <c r="H122" i="3"/>
  <c r="L122" i="3"/>
  <c r="L123" i="3"/>
  <c r="L124" i="3"/>
  <c r="L125" i="3"/>
  <c r="L126" i="3"/>
  <c r="F127" i="3"/>
  <c r="H127" i="3"/>
  <c r="J127" i="3"/>
  <c r="L127" i="3"/>
  <c r="F129" i="3"/>
  <c r="F130" i="3"/>
  <c r="H130" i="3"/>
  <c r="L130" i="3"/>
  <c r="F131" i="3"/>
  <c r="H131" i="3"/>
  <c r="L131" i="3"/>
  <c r="L132" i="3"/>
  <c r="L133" i="3"/>
  <c r="F134" i="3"/>
  <c r="H134" i="3"/>
  <c r="J134" i="3"/>
  <c r="L134" i="3"/>
  <c r="F136" i="3"/>
  <c r="H136" i="3"/>
  <c r="L136" i="3"/>
  <c r="F137" i="3"/>
  <c r="H137" i="3"/>
  <c r="L137" i="3"/>
  <c r="F138" i="3"/>
  <c r="H138" i="3"/>
  <c r="L138" i="3"/>
  <c r="F139" i="3"/>
  <c r="H139" i="3"/>
  <c r="L139" i="3"/>
  <c r="L140" i="3"/>
  <c r="L141" i="3"/>
  <c r="L142" i="3"/>
  <c r="L144" i="3"/>
  <c r="L150" i="3"/>
  <c r="F153" i="3"/>
  <c r="H153" i="3"/>
  <c r="J153" i="3"/>
  <c r="L153" i="3"/>
  <c r="F155" i="3"/>
  <c r="H155" i="3"/>
  <c r="J155" i="3"/>
  <c r="L155" i="3"/>
  <c r="I8" i="6"/>
  <c r="O8" i="6"/>
  <c r="I10" i="6"/>
  <c r="O10" i="6"/>
  <c r="O12" i="6"/>
  <c r="I14" i="6"/>
  <c r="O14" i="6"/>
  <c r="O16" i="6"/>
  <c r="I19" i="6"/>
  <c r="K19" i="6"/>
  <c r="M19" i="6"/>
  <c r="O19" i="6"/>
  <c r="I22" i="6"/>
  <c r="K22" i="6"/>
  <c r="O22" i="6"/>
  <c r="I24" i="6"/>
  <c r="K24" i="6"/>
  <c r="O24" i="6"/>
  <c r="I26" i="6"/>
  <c r="K26" i="6"/>
  <c r="O26" i="6"/>
  <c r="O28" i="6"/>
  <c r="O30" i="6"/>
  <c r="I32" i="6"/>
  <c r="K32" i="6"/>
  <c r="O32" i="6"/>
  <c r="I34" i="6"/>
  <c r="K34" i="6"/>
  <c r="O34" i="6"/>
  <c r="O38" i="6"/>
  <c r="O40" i="6"/>
  <c r="O42" i="6"/>
  <c r="I44" i="6"/>
  <c r="K44" i="6"/>
  <c r="M44" i="6"/>
  <c r="O44" i="6"/>
  <c r="I47" i="6"/>
  <c r="O47" i="6"/>
  <c r="I49" i="6"/>
  <c r="O49" i="6"/>
  <c r="O51" i="6"/>
  <c r="O53" i="6"/>
  <c r="O55" i="6"/>
  <c r="O57" i="6"/>
  <c r="O59" i="6"/>
  <c r="O61" i="6"/>
  <c r="I63" i="6"/>
  <c r="K63" i="6"/>
  <c r="M63" i="6"/>
  <c r="O63" i="6"/>
  <c r="I65" i="6"/>
  <c r="K65" i="6"/>
  <c r="M65" i="6"/>
  <c r="O65" i="6"/>
  <c r="L3" i="9"/>
  <c r="O3" i="9"/>
  <c r="Q3" i="9"/>
  <c r="J6" i="9"/>
  <c r="O6" i="9"/>
  <c r="Q6" i="9"/>
  <c r="S6" i="9"/>
  <c r="T6" i="9"/>
  <c r="V6" i="9"/>
  <c r="W6" i="9"/>
  <c r="X6" i="9"/>
  <c r="J7" i="9"/>
  <c r="O7" i="9"/>
  <c r="Q7" i="9"/>
  <c r="S7" i="9"/>
  <c r="T7" i="9"/>
  <c r="V7" i="9"/>
  <c r="W7" i="9"/>
  <c r="X7" i="9"/>
  <c r="J8" i="9"/>
  <c r="O8" i="9"/>
  <c r="Q8" i="9"/>
  <c r="S8" i="9"/>
  <c r="T8" i="9"/>
  <c r="V8" i="9"/>
  <c r="W8" i="9"/>
  <c r="X8" i="9"/>
  <c r="J9" i="9"/>
  <c r="O9" i="9"/>
  <c r="Q9" i="9"/>
  <c r="S9" i="9"/>
  <c r="T9" i="9"/>
  <c r="V9" i="9"/>
  <c r="W9" i="9"/>
  <c r="X9" i="9"/>
  <c r="J10" i="9"/>
  <c r="O10" i="9"/>
  <c r="Q10" i="9"/>
  <c r="S10" i="9"/>
  <c r="T10" i="9"/>
  <c r="V10" i="9"/>
  <c r="W10" i="9"/>
  <c r="X10" i="9"/>
  <c r="J11" i="9"/>
  <c r="O11" i="9"/>
  <c r="Q11" i="9"/>
  <c r="S11" i="9"/>
  <c r="T11" i="9"/>
  <c r="V11" i="9"/>
  <c r="W11" i="9"/>
  <c r="X11" i="9"/>
  <c r="J13" i="9"/>
  <c r="O13" i="9"/>
  <c r="Q13" i="9"/>
  <c r="S13" i="9"/>
  <c r="T13" i="9"/>
  <c r="V13" i="9"/>
  <c r="W13" i="9"/>
  <c r="X13" i="9"/>
  <c r="J14" i="9"/>
  <c r="O14" i="9"/>
  <c r="Q14" i="9"/>
  <c r="S14" i="9"/>
  <c r="T14" i="9"/>
  <c r="V14" i="9"/>
  <c r="W14" i="9"/>
  <c r="X14" i="9"/>
  <c r="J15" i="9"/>
  <c r="O15" i="9"/>
  <c r="Q15" i="9"/>
  <c r="S15" i="9"/>
  <c r="T15" i="9"/>
  <c r="V15" i="9"/>
  <c r="W15" i="9"/>
  <c r="X15" i="9"/>
  <c r="J17" i="9"/>
  <c r="O17" i="9"/>
  <c r="Q17" i="9"/>
  <c r="S17" i="9"/>
  <c r="T17" i="9"/>
  <c r="V17" i="9"/>
  <c r="W17" i="9"/>
  <c r="X17" i="9"/>
  <c r="J18" i="9"/>
  <c r="O18" i="9"/>
  <c r="Q18" i="9"/>
  <c r="S18" i="9"/>
  <c r="T18" i="9"/>
  <c r="V18" i="9"/>
  <c r="W18" i="9"/>
  <c r="X18" i="9"/>
  <c r="J19" i="9"/>
  <c r="O19" i="9"/>
  <c r="Q19" i="9"/>
  <c r="S19" i="9"/>
  <c r="T19" i="9"/>
  <c r="V19" i="9"/>
  <c r="W19" i="9"/>
  <c r="X19" i="9"/>
  <c r="J20" i="9"/>
  <c r="O20" i="9"/>
  <c r="Q20" i="9"/>
  <c r="S20" i="9"/>
  <c r="T20" i="9"/>
  <c r="V20" i="9"/>
  <c r="W20" i="9"/>
  <c r="X20" i="9"/>
  <c r="J21" i="9"/>
  <c r="O21" i="9"/>
  <c r="Q21" i="9"/>
  <c r="S21" i="9"/>
  <c r="T21" i="9"/>
  <c r="V21" i="9"/>
  <c r="W21" i="9"/>
  <c r="X21" i="9"/>
  <c r="J22" i="9"/>
  <c r="O22" i="9"/>
  <c r="Q22" i="9"/>
  <c r="S22" i="9"/>
  <c r="T22" i="9"/>
  <c r="V22" i="9"/>
  <c r="W22" i="9"/>
  <c r="X22" i="9"/>
  <c r="J23" i="9"/>
  <c r="O23" i="9"/>
  <c r="Q23" i="9"/>
  <c r="S23" i="9"/>
  <c r="T23" i="9"/>
  <c r="V23" i="9"/>
  <c r="W23" i="9"/>
  <c r="X23" i="9"/>
  <c r="J24" i="9"/>
  <c r="O24" i="9"/>
  <c r="Q24" i="9"/>
  <c r="S24" i="9"/>
  <c r="T24" i="9"/>
  <c r="V24" i="9"/>
  <c r="W24" i="9"/>
  <c r="X24" i="9"/>
  <c r="J26" i="9"/>
  <c r="O26" i="9"/>
  <c r="Q26" i="9"/>
  <c r="S26" i="9"/>
  <c r="T26" i="9"/>
  <c r="V26" i="9"/>
  <c r="W26" i="9"/>
  <c r="X26" i="9"/>
  <c r="J27" i="9"/>
  <c r="O27" i="9"/>
  <c r="Q27" i="9"/>
  <c r="S27" i="9"/>
  <c r="T27" i="9"/>
  <c r="V27" i="9"/>
  <c r="W27" i="9"/>
  <c r="X27" i="9"/>
  <c r="J29" i="9"/>
  <c r="O29" i="9"/>
  <c r="Q29" i="9"/>
  <c r="S29" i="9"/>
  <c r="T29" i="9"/>
  <c r="V29" i="9"/>
  <c r="W29" i="9"/>
  <c r="X29" i="9"/>
  <c r="J30" i="9"/>
  <c r="O30" i="9"/>
  <c r="Q30" i="9"/>
  <c r="S30" i="9"/>
  <c r="T30" i="9"/>
  <c r="V30" i="9"/>
  <c r="W30" i="9"/>
  <c r="X30" i="9"/>
  <c r="J31" i="9"/>
  <c r="O31" i="9"/>
  <c r="Q31" i="9"/>
  <c r="S31" i="9"/>
  <c r="T31" i="9"/>
  <c r="V31" i="9"/>
  <c r="W31" i="9"/>
  <c r="X31" i="9"/>
  <c r="J32" i="9"/>
  <c r="O32" i="9"/>
  <c r="Q32" i="9"/>
  <c r="S32" i="9"/>
  <c r="T32" i="9"/>
  <c r="V32" i="9"/>
  <c r="W32" i="9"/>
  <c r="X32" i="9"/>
  <c r="J33" i="9"/>
  <c r="O33" i="9"/>
  <c r="Q33" i="9"/>
  <c r="S33" i="9"/>
  <c r="T33" i="9"/>
  <c r="V33" i="9"/>
  <c r="W33" i="9"/>
  <c r="X33" i="9"/>
  <c r="J34" i="9"/>
  <c r="O34" i="9"/>
  <c r="Q34" i="9"/>
  <c r="S34" i="9"/>
  <c r="T34" i="9"/>
  <c r="V34" i="9"/>
  <c r="W34" i="9"/>
  <c r="X34" i="9"/>
  <c r="J35" i="9"/>
  <c r="O35" i="9"/>
  <c r="Q35" i="9"/>
  <c r="S35" i="9"/>
  <c r="T35" i="9"/>
  <c r="V35" i="9"/>
  <c r="W35" i="9"/>
  <c r="X35" i="9"/>
  <c r="J36" i="9"/>
  <c r="O36" i="9"/>
  <c r="Q36" i="9"/>
  <c r="S36" i="9"/>
  <c r="T36" i="9"/>
  <c r="V36" i="9"/>
  <c r="W36" i="9"/>
  <c r="X36" i="9"/>
  <c r="J37" i="9"/>
  <c r="O37" i="9"/>
  <c r="Q37" i="9"/>
  <c r="S37" i="9"/>
  <c r="T37" i="9"/>
  <c r="V37" i="9"/>
  <c r="W37" i="9"/>
  <c r="X37" i="9"/>
  <c r="J38" i="9"/>
  <c r="O38" i="9"/>
  <c r="Q38" i="9"/>
  <c r="S38" i="9"/>
  <c r="T38" i="9"/>
  <c r="V38" i="9"/>
  <c r="W38" i="9"/>
  <c r="X38" i="9"/>
  <c r="J39" i="9"/>
  <c r="O39" i="9"/>
  <c r="Q39" i="9"/>
  <c r="S39" i="9"/>
  <c r="T39" i="9"/>
  <c r="V39" i="9"/>
  <c r="W39" i="9"/>
  <c r="X39" i="9"/>
  <c r="J40" i="9"/>
  <c r="O40" i="9"/>
  <c r="Q40" i="9"/>
  <c r="S40" i="9"/>
  <c r="T40" i="9"/>
  <c r="V40" i="9"/>
  <c r="W40" i="9"/>
  <c r="X40" i="9"/>
  <c r="J42" i="9"/>
  <c r="O42" i="9"/>
  <c r="Q42" i="9"/>
  <c r="S42" i="9"/>
  <c r="T42" i="9"/>
  <c r="J43" i="9"/>
  <c r="O43" i="9"/>
  <c r="Q43" i="9"/>
  <c r="S43" i="9"/>
  <c r="T43" i="9"/>
  <c r="J44" i="9"/>
  <c r="O44" i="9"/>
  <c r="Q44" i="9"/>
  <c r="S44" i="9"/>
  <c r="T44" i="9"/>
  <c r="J45" i="9"/>
  <c r="O45" i="9"/>
  <c r="Q45" i="9"/>
  <c r="S45" i="9"/>
  <c r="T45" i="9"/>
  <c r="J46" i="9"/>
  <c r="O46" i="9"/>
  <c r="Q46" i="9"/>
  <c r="S46" i="9"/>
  <c r="T46" i="9"/>
  <c r="J47" i="9"/>
  <c r="O47" i="9"/>
  <c r="Q47" i="9"/>
  <c r="S47" i="9"/>
  <c r="T47" i="9"/>
  <c r="J48" i="9"/>
  <c r="O48" i="9"/>
  <c r="Q48" i="9"/>
  <c r="S48" i="9"/>
  <c r="T48" i="9"/>
  <c r="J50" i="9"/>
  <c r="O50" i="9"/>
  <c r="Q50" i="9"/>
  <c r="S50" i="9"/>
  <c r="T50" i="9"/>
  <c r="J51" i="9"/>
  <c r="O51" i="9"/>
  <c r="Q51" i="9"/>
  <c r="S51" i="9"/>
  <c r="T51" i="9"/>
  <c r="J52" i="9"/>
  <c r="O52" i="9"/>
  <c r="Q52" i="9"/>
  <c r="S52" i="9"/>
  <c r="T52" i="9"/>
  <c r="J53" i="9"/>
  <c r="O53" i="9"/>
  <c r="Q53" i="9"/>
  <c r="S53" i="9"/>
  <c r="T53" i="9"/>
  <c r="J54" i="9"/>
  <c r="O54" i="9"/>
  <c r="Q54" i="9"/>
  <c r="S54" i="9"/>
  <c r="T54" i="9"/>
  <c r="J55" i="9"/>
  <c r="O55" i="9"/>
  <c r="Q55" i="9"/>
  <c r="S55" i="9"/>
  <c r="T55" i="9"/>
  <c r="J56" i="9"/>
  <c r="O56" i="9"/>
  <c r="Q56" i="9"/>
  <c r="S56" i="9"/>
  <c r="T56" i="9"/>
  <c r="J57" i="9"/>
  <c r="O57" i="9"/>
  <c r="Q57" i="9"/>
  <c r="S57" i="9"/>
  <c r="T57" i="9"/>
  <c r="J58" i="9"/>
  <c r="O58" i="9"/>
  <c r="Q58" i="9"/>
  <c r="S58" i="9"/>
  <c r="T58" i="9"/>
  <c r="J59" i="9"/>
  <c r="O59" i="9"/>
  <c r="Q59" i="9"/>
  <c r="S59" i="9"/>
  <c r="T59" i="9"/>
  <c r="J61" i="9"/>
  <c r="L61" i="9"/>
  <c r="O61" i="9"/>
  <c r="Q61" i="9"/>
  <c r="S61" i="9"/>
  <c r="T61" i="9"/>
  <c r="V61" i="9"/>
  <c r="W61" i="9"/>
  <c r="X61" i="9"/>
  <c r="J62" i="9"/>
  <c r="L62" i="9"/>
  <c r="O62" i="9"/>
  <c r="Q62" i="9"/>
  <c r="S62" i="9"/>
  <c r="T62" i="9"/>
  <c r="V62" i="9"/>
  <c r="W62" i="9"/>
  <c r="X62" i="9"/>
  <c r="J63" i="9"/>
  <c r="L63" i="9"/>
  <c r="O63" i="9"/>
  <c r="Q63" i="9"/>
  <c r="S63" i="9"/>
  <c r="T63" i="9"/>
  <c r="V63" i="9"/>
  <c r="W63" i="9"/>
  <c r="X63" i="9"/>
  <c r="J64" i="9"/>
  <c r="L64" i="9"/>
  <c r="O64" i="9"/>
  <c r="Q64" i="9"/>
  <c r="S64" i="9"/>
  <c r="T64" i="9"/>
  <c r="V64" i="9"/>
  <c r="W64" i="9"/>
  <c r="X64" i="9"/>
  <c r="J65" i="9"/>
  <c r="L65" i="9"/>
  <c r="O65" i="9"/>
  <c r="Q65" i="9"/>
  <c r="S65" i="9"/>
  <c r="T65" i="9"/>
  <c r="V65" i="9"/>
  <c r="W65" i="9"/>
  <c r="X65" i="9"/>
  <c r="J66" i="9"/>
  <c r="L66" i="9"/>
  <c r="O66" i="9"/>
  <c r="Q66" i="9"/>
  <c r="S66" i="9"/>
  <c r="T66" i="9"/>
  <c r="V66" i="9"/>
  <c r="W66" i="9"/>
  <c r="X66" i="9"/>
  <c r="J67" i="9"/>
  <c r="L67" i="9"/>
  <c r="O67" i="9"/>
  <c r="Q67" i="9"/>
  <c r="S67" i="9"/>
  <c r="T67" i="9"/>
  <c r="V67" i="9"/>
  <c r="W67" i="9"/>
  <c r="X67" i="9"/>
  <c r="J68" i="9"/>
  <c r="L68" i="9"/>
  <c r="O68" i="9"/>
  <c r="Q68" i="9"/>
  <c r="S68" i="9"/>
  <c r="T68" i="9"/>
  <c r="V68" i="9"/>
  <c r="W68" i="9"/>
  <c r="X68" i="9"/>
  <c r="J69" i="9"/>
  <c r="L69" i="9"/>
  <c r="O69" i="9"/>
  <c r="Q69" i="9"/>
  <c r="S69" i="9"/>
  <c r="T69" i="9"/>
  <c r="V69" i="9"/>
  <c r="W69" i="9"/>
  <c r="X69" i="9"/>
  <c r="J70" i="9"/>
  <c r="L70" i="9"/>
  <c r="O70" i="9"/>
  <c r="Q70" i="9"/>
  <c r="S70" i="9"/>
  <c r="T70" i="9"/>
  <c r="V70" i="9"/>
  <c r="W70" i="9"/>
  <c r="X70" i="9"/>
  <c r="J71" i="9"/>
  <c r="L71" i="9"/>
  <c r="O71" i="9"/>
  <c r="Q71" i="9"/>
  <c r="S71" i="9"/>
  <c r="T71" i="9"/>
  <c r="V71" i="9"/>
  <c r="W71" i="9"/>
  <c r="X71" i="9"/>
  <c r="J72" i="9"/>
  <c r="L72" i="9"/>
  <c r="O72" i="9"/>
  <c r="Q72" i="9"/>
  <c r="S72" i="9"/>
  <c r="T72" i="9"/>
  <c r="V72" i="9"/>
  <c r="W72" i="9"/>
  <c r="X72" i="9"/>
  <c r="J73" i="9"/>
  <c r="L73" i="9"/>
  <c r="O73" i="9"/>
  <c r="Q73" i="9"/>
  <c r="S73" i="9"/>
  <c r="T73" i="9"/>
  <c r="V73" i="9"/>
  <c r="W73" i="9"/>
  <c r="X73" i="9"/>
  <c r="J74" i="9"/>
  <c r="L74" i="9"/>
  <c r="O74" i="9"/>
  <c r="Q74" i="9"/>
  <c r="S74" i="9"/>
  <c r="T74" i="9"/>
  <c r="V74" i="9"/>
  <c r="W74" i="9"/>
  <c r="X74" i="9"/>
  <c r="J75" i="9"/>
  <c r="L75" i="9"/>
  <c r="O75" i="9"/>
  <c r="Q75" i="9"/>
  <c r="S75" i="9"/>
  <c r="T75" i="9"/>
  <c r="V75" i="9"/>
  <c r="W75" i="9"/>
  <c r="X75" i="9"/>
  <c r="J76" i="9"/>
  <c r="L76" i="9"/>
  <c r="O76" i="9"/>
  <c r="Q76" i="9"/>
  <c r="S76" i="9"/>
  <c r="T76" i="9"/>
  <c r="V76" i="9"/>
  <c r="W76" i="9"/>
  <c r="X76" i="9"/>
  <c r="J77" i="9"/>
  <c r="L77" i="9"/>
  <c r="O77" i="9"/>
  <c r="Q77" i="9"/>
  <c r="S77" i="9"/>
  <c r="T77" i="9"/>
  <c r="V77" i="9"/>
  <c r="W77" i="9"/>
  <c r="X77" i="9"/>
  <c r="J78" i="9"/>
  <c r="L78" i="9"/>
  <c r="O78" i="9"/>
  <c r="Q78" i="9"/>
  <c r="S78" i="9"/>
  <c r="T78" i="9"/>
  <c r="V78" i="9"/>
  <c r="W78" i="9"/>
  <c r="X78" i="9"/>
  <c r="J79" i="9"/>
  <c r="L79" i="9"/>
  <c r="O79" i="9"/>
  <c r="Q79" i="9"/>
  <c r="S79" i="9"/>
  <c r="T79" i="9"/>
  <c r="V79" i="9"/>
  <c r="W79" i="9"/>
  <c r="X79" i="9"/>
  <c r="J80" i="9"/>
  <c r="L80" i="9"/>
  <c r="O80" i="9"/>
  <c r="Q80" i="9"/>
  <c r="S80" i="9"/>
  <c r="T80" i="9"/>
  <c r="V80" i="9"/>
  <c r="W80" i="9"/>
  <c r="X80" i="9"/>
  <c r="J81" i="9"/>
  <c r="L81" i="9"/>
  <c r="O81" i="9"/>
  <c r="Q81" i="9"/>
  <c r="S81" i="9"/>
  <c r="T81" i="9"/>
  <c r="V81" i="9"/>
  <c r="W81" i="9"/>
  <c r="X81" i="9"/>
  <c r="J83" i="9"/>
  <c r="O83" i="9"/>
  <c r="Q83" i="9"/>
  <c r="S83" i="9"/>
  <c r="T83" i="9"/>
  <c r="J84" i="9"/>
  <c r="O84" i="9"/>
  <c r="Q84" i="9"/>
  <c r="S84" i="9"/>
  <c r="T84" i="9"/>
  <c r="J85" i="9"/>
  <c r="O85" i="9"/>
  <c r="Q85" i="9"/>
  <c r="S85" i="9"/>
  <c r="T85" i="9"/>
  <c r="J86" i="9"/>
  <c r="O86" i="9"/>
  <c r="Q86" i="9"/>
  <c r="S86" i="9"/>
  <c r="T86" i="9"/>
  <c r="J87" i="9"/>
  <c r="O87" i="9"/>
  <c r="Q87" i="9"/>
  <c r="S87" i="9"/>
  <c r="T87" i="9"/>
  <c r="J88" i="9"/>
  <c r="O88" i="9"/>
  <c r="Q88" i="9"/>
  <c r="S88" i="9"/>
  <c r="T88" i="9"/>
  <c r="J89" i="9"/>
  <c r="O89" i="9"/>
  <c r="Q89" i="9"/>
  <c r="S89" i="9"/>
  <c r="T89" i="9"/>
  <c r="J90" i="9"/>
  <c r="O90" i="9"/>
  <c r="Q90" i="9"/>
  <c r="S90" i="9"/>
  <c r="T90" i="9"/>
  <c r="J91" i="9"/>
  <c r="O91" i="9"/>
  <c r="Q91" i="9"/>
  <c r="S91" i="9"/>
  <c r="T91" i="9"/>
  <c r="J92" i="9"/>
  <c r="O92" i="9"/>
  <c r="Q92" i="9"/>
  <c r="S92" i="9"/>
  <c r="T92" i="9"/>
  <c r="J94" i="9"/>
  <c r="O94" i="9"/>
  <c r="Q94" i="9"/>
  <c r="S94" i="9"/>
  <c r="T94" i="9"/>
  <c r="J95" i="9"/>
  <c r="O95" i="9"/>
  <c r="Q95" i="9"/>
  <c r="S95" i="9"/>
  <c r="T95" i="9"/>
  <c r="J96" i="9"/>
  <c r="O96" i="9"/>
  <c r="Q96" i="9"/>
  <c r="S96" i="9"/>
  <c r="T96" i="9"/>
  <c r="J97" i="9"/>
  <c r="O97" i="9"/>
  <c r="Q97" i="9"/>
  <c r="S97" i="9"/>
  <c r="T97" i="9"/>
  <c r="J98" i="9"/>
  <c r="O98" i="9"/>
  <c r="Q98" i="9"/>
  <c r="S98" i="9"/>
  <c r="T98" i="9"/>
  <c r="J99" i="9"/>
  <c r="O99" i="9"/>
  <c r="Q99" i="9"/>
  <c r="S99" i="9"/>
  <c r="T99" i="9"/>
  <c r="J100" i="9"/>
  <c r="O100" i="9"/>
  <c r="Q100" i="9"/>
  <c r="S100" i="9"/>
  <c r="T100" i="9"/>
  <c r="J101" i="9"/>
  <c r="O101" i="9"/>
  <c r="Q101" i="9"/>
  <c r="S101" i="9"/>
  <c r="T101" i="9"/>
  <c r="J102" i="9"/>
  <c r="O102" i="9"/>
  <c r="Q102" i="9"/>
  <c r="S102" i="9"/>
  <c r="T102" i="9"/>
  <c r="J103" i="9"/>
  <c r="O103" i="9"/>
  <c r="Q103" i="9"/>
  <c r="S103" i="9"/>
  <c r="T103" i="9"/>
  <c r="J105" i="9"/>
  <c r="O105" i="9"/>
  <c r="Q105" i="9"/>
  <c r="S105" i="9"/>
  <c r="T105" i="9"/>
  <c r="V105" i="9"/>
  <c r="W105" i="9"/>
  <c r="X105" i="9"/>
  <c r="J106" i="9"/>
  <c r="O106" i="9"/>
  <c r="Q106" i="9"/>
  <c r="S106" i="9"/>
  <c r="T106" i="9"/>
  <c r="V106" i="9"/>
  <c r="W106" i="9"/>
  <c r="X106" i="9"/>
  <c r="J107" i="9"/>
  <c r="O107" i="9"/>
  <c r="Q107" i="9"/>
  <c r="S107" i="9"/>
  <c r="T107" i="9"/>
  <c r="V107" i="9"/>
  <c r="W107" i="9"/>
  <c r="X107" i="9"/>
  <c r="J108" i="9"/>
  <c r="O108" i="9"/>
  <c r="Q108" i="9"/>
  <c r="S108" i="9"/>
  <c r="T108" i="9"/>
  <c r="V108" i="9"/>
  <c r="W108" i="9"/>
  <c r="X108" i="9"/>
  <c r="J109" i="9"/>
  <c r="O109" i="9"/>
  <c r="Q109" i="9"/>
  <c r="S109" i="9"/>
  <c r="T109" i="9"/>
  <c r="V109" i="9"/>
  <c r="W109" i="9"/>
  <c r="X109" i="9"/>
  <c r="J110" i="9"/>
  <c r="O110" i="9"/>
  <c r="Q110" i="9"/>
  <c r="S110" i="9"/>
  <c r="T110" i="9"/>
  <c r="V110" i="9"/>
  <c r="W110" i="9"/>
  <c r="X110" i="9"/>
  <c r="J111" i="9"/>
  <c r="O111" i="9"/>
  <c r="Q111" i="9"/>
  <c r="S111" i="9"/>
  <c r="T111" i="9"/>
  <c r="V111" i="9"/>
  <c r="W111" i="9"/>
  <c r="X111" i="9"/>
  <c r="J112" i="9"/>
  <c r="O112" i="9"/>
  <c r="Q112" i="9"/>
  <c r="S112" i="9"/>
  <c r="T112" i="9"/>
  <c r="V112" i="9"/>
  <c r="W112" i="9"/>
  <c r="X112" i="9"/>
  <c r="J113" i="9"/>
  <c r="O113" i="9"/>
  <c r="Q113" i="9"/>
  <c r="S113" i="9"/>
  <c r="T113" i="9"/>
  <c r="V113" i="9"/>
  <c r="W113" i="9"/>
  <c r="X113" i="9"/>
  <c r="J114" i="9"/>
  <c r="O114" i="9"/>
  <c r="Q114" i="9"/>
  <c r="S114" i="9"/>
  <c r="T114" i="9"/>
  <c r="V114" i="9"/>
  <c r="W114" i="9"/>
  <c r="X114" i="9"/>
  <c r="J115" i="9"/>
  <c r="O115" i="9"/>
  <c r="Q115" i="9"/>
  <c r="S115" i="9"/>
  <c r="T115" i="9"/>
  <c r="V115" i="9"/>
  <c r="W115" i="9"/>
  <c r="X115" i="9"/>
  <c r="J116" i="9"/>
  <c r="O116" i="9"/>
  <c r="Q116" i="9"/>
  <c r="S116" i="9"/>
  <c r="T116" i="9"/>
  <c r="V116" i="9"/>
  <c r="W116" i="9"/>
  <c r="X116" i="9"/>
  <c r="J118" i="9"/>
  <c r="O118" i="9"/>
  <c r="Q118" i="9"/>
  <c r="X118" i="9"/>
  <c r="J120" i="9"/>
  <c r="O120" i="9"/>
  <c r="Q120" i="9"/>
  <c r="X120" i="9"/>
  <c r="J122" i="9"/>
  <c r="O122" i="9"/>
  <c r="Q122" i="9"/>
  <c r="X122" i="9"/>
  <c r="J123" i="9"/>
  <c r="O123" i="9"/>
  <c r="Q123" i="9"/>
  <c r="X123" i="9"/>
  <c r="J125" i="9"/>
  <c r="O125" i="9"/>
  <c r="Q125" i="9"/>
  <c r="S125" i="9"/>
  <c r="T125" i="9"/>
  <c r="V125" i="9"/>
  <c r="W125" i="9"/>
  <c r="X125" i="9"/>
  <c r="J126" i="9"/>
  <c r="O126" i="9"/>
  <c r="Q126" i="9"/>
  <c r="S126" i="9"/>
  <c r="T126" i="9"/>
  <c r="V126" i="9"/>
  <c r="W126" i="9"/>
  <c r="X126" i="9"/>
  <c r="J127" i="9"/>
  <c r="O127" i="9"/>
  <c r="Q127" i="9"/>
  <c r="S127" i="9"/>
  <c r="T127" i="9"/>
  <c r="V127" i="9"/>
  <c r="W127" i="9"/>
  <c r="X127" i="9"/>
  <c r="J128" i="9"/>
  <c r="O128" i="9"/>
  <c r="Q128" i="9"/>
  <c r="S128" i="9"/>
  <c r="T128" i="9"/>
  <c r="V128" i="9"/>
  <c r="W128" i="9"/>
  <c r="X128" i="9"/>
  <c r="J129" i="9"/>
  <c r="O129" i="9"/>
  <c r="Q129" i="9"/>
  <c r="S129" i="9"/>
  <c r="T129" i="9"/>
  <c r="V129" i="9"/>
  <c r="W129" i="9"/>
  <c r="X129" i="9"/>
  <c r="J130" i="9"/>
  <c r="O130" i="9"/>
  <c r="Q130" i="9"/>
  <c r="S130" i="9"/>
  <c r="T130" i="9"/>
  <c r="V130" i="9"/>
  <c r="W130" i="9"/>
  <c r="X130" i="9"/>
  <c r="J131" i="9"/>
  <c r="O131" i="9"/>
  <c r="Q131" i="9"/>
  <c r="S131" i="9"/>
  <c r="T131" i="9"/>
  <c r="V131" i="9"/>
  <c r="W131" i="9"/>
  <c r="X131" i="9"/>
  <c r="J132" i="9"/>
  <c r="O132" i="9"/>
  <c r="Q132" i="9"/>
  <c r="S132" i="9"/>
  <c r="T132" i="9"/>
  <c r="V132" i="9"/>
  <c r="W132" i="9"/>
  <c r="X132" i="9"/>
  <c r="J133" i="9"/>
  <c r="O133" i="9"/>
  <c r="Q133" i="9"/>
  <c r="S133" i="9"/>
  <c r="T133" i="9"/>
  <c r="V133" i="9"/>
  <c r="W133" i="9"/>
  <c r="X133" i="9"/>
  <c r="J134" i="9"/>
  <c r="O134" i="9"/>
  <c r="Q134" i="9"/>
  <c r="S134" i="9"/>
  <c r="T134" i="9"/>
  <c r="V134" i="9"/>
  <c r="W134" i="9"/>
  <c r="X134" i="9"/>
  <c r="J135" i="9"/>
  <c r="O135" i="9"/>
  <c r="Q135" i="9"/>
  <c r="S135" i="9"/>
  <c r="T135" i="9"/>
  <c r="V135" i="9"/>
  <c r="W135" i="9"/>
  <c r="X135" i="9"/>
  <c r="J136" i="9"/>
  <c r="O136" i="9"/>
  <c r="Q136" i="9"/>
  <c r="S136" i="9"/>
  <c r="T136" i="9"/>
  <c r="V136" i="9"/>
  <c r="W136" i="9"/>
  <c r="X136" i="9"/>
  <c r="J137" i="9"/>
  <c r="O137" i="9"/>
  <c r="Q137" i="9"/>
  <c r="S137" i="9"/>
  <c r="T137" i="9"/>
  <c r="V137" i="9"/>
  <c r="W137" i="9"/>
  <c r="X137" i="9"/>
  <c r="J138" i="9"/>
  <c r="O138" i="9"/>
  <c r="Q138" i="9"/>
  <c r="S138" i="9"/>
  <c r="T138" i="9"/>
  <c r="V138" i="9"/>
  <c r="W138" i="9"/>
  <c r="X138" i="9"/>
  <c r="J139" i="9"/>
  <c r="O139" i="9"/>
  <c r="Q139" i="9"/>
  <c r="S139" i="9"/>
  <c r="T139" i="9"/>
  <c r="V139" i="9"/>
  <c r="W139" i="9"/>
  <c r="X139" i="9"/>
  <c r="J140" i="9"/>
  <c r="O140" i="9"/>
  <c r="Q140" i="9"/>
  <c r="S140" i="9"/>
  <c r="T140" i="9"/>
  <c r="V140" i="9"/>
  <c r="W140" i="9"/>
  <c r="X140" i="9"/>
  <c r="J141" i="9"/>
  <c r="O141" i="9"/>
  <c r="Q141" i="9"/>
  <c r="S141" i="9"/>
  <c r="T141" i="9"/>
  <c r="V141" i="9"/>
  <c r="W141" i="9"/>
  <c r="X141" i="9"/>
  <c r="J142" i="9"/>
  <c r="O142" i="9"/>
  <c r="Q142" i="9"/>
  <c r="S142" i="9"/>
  <c r="T142" i="9"/>
  <c r="V142" i="9"/>
  <c r="W142" i="9"/>
  <c r="X142" i="9"/>
  <c r="J143" i="9"/>
  <c r="O143" i="9"/>
  <c r="Q143" i="9"/>
  <c r="S143" i="9"/>
  <c r="T143" i="9"/>
  <c r="V143" i="9"/>
  <c r="W143" i="9"/>
  <c r="X143" i="9"/>
  <c r="J144" i="9"/>
  <c r="O144" i="9"/>
  <c r="Q144" i="9"/>
  <c r="S144" i="9"/>
  <c r="T144" i="9"/>
  <c r="V144" i="9"/>
  <c r="W144" i="9"/>
  <c r="X144" i="9"/>
  <c r="J145" i="9"/>
  <c r="O145" i="9"/>
  <c r="Q145" i="9"/>
  <c r="S145" i="9"/>
  <c r="T145" i="9"/>
  <c r="V145" i="9"/>
  <c r="W145" i="9"/>
  <c r="X145" i="9"/>
  <c r="J146" i="9"/>
  <c r="O146" i="9"/>
  <c r="Q146" i="9"/>
  <c r="S146" i="9"/>
  <c r="T146" i="9"/>
  <c r="V146" i="9"/>
  <c r="W146" i="9"/>
  <c r="X146" i="9"/>
  <c r="J148" i="9"/>
  <c r="O148" i="9"/>
  <c r="Q148" i="9"/>
  <c r="S148" i="9"/>
  <c r="T148" i="9"/>
  <c r="V148" i="9"/>
  <c r="W148" i="9"/>
  <c r="X148" i="9"/>
  <c r="J149" i="9"/>
  <c r="O149" i="9"/>
  <c r="Q149" i="9"/>
  <c r="S149" i="9"/>
  <c r="T149" i="9"/>
  <c r="V149" i="9"/>
  <c r="W149" i="9"/>
  <c r="X149" i="9"/>
  <c r="J150" i="9"/>
  <c r="O150" i="9"/>
  <c r="Q150" i="9"/>
  <c r="S150" i="9"/>
  <c r="T150" i="9"/>
  <c r="V150" i="9"/>
  <c r="W150" i="9"/>
  <c r="X150" i="9"/>
  <c r="J151" i="9"/>
  <c r="O151" i="9"/>
  <c r="Q151" i="9"/>
  <c r="S151" i="9"/>
  <c r="T151" i="9"/>
  <c r="V151" i="9"/>
  <c r="W151" i="9"/>
  <c r="X151" i="9"/>
  <c r="J152" i="9"/>
  <c r="O152" i="9"/>
  <c r="Q152" i="9"/>
  <c r="S152" i="9"/>
  <c r="T152" i="9"/>
  <c r="V152" i="9"/>
  <c r="W152" i="9"/>
  <c r="X152" i="9"/>
  <c r="J153" i="9"/>
  <c r="O153" i="9"/>
  <c r="Q153" i="9"/>
  <c r="S153" i="9"/>
  <c r="T153" i="9"/>
  <c r="V153" i="9"/>
  <c r="W153" i="9"/>
  <c r="X153" i="9"/>
  <c r="J154" i="9"/>
  <c r="O154" i="9"/>
  <c r="Q154" i="9"/>
  <c r="S154" i="9"/>
  <c r="T154" i="9"/>
  <c r="V154" i="9"/>
  <c r="W154" i="9"/>
  <c r="X154" i="9"/>
  <c r="J155" i="9"/>
  <c r="O155" i="9"/>
  <c r="Q155" i="9"/>
  <c r="S155" i="9"/>
  <c r="T155" i="9"/>
  <c r="V155" i="9"/>
  <c r="W155" i="9"/>
  <c r="X155" i="9"/>
  <c r="J156" i="9"/>
  <c r="O156" i="9"/>
  <c r="Q156" i="9"/>
  <c r="S156" i="9"/>
  <c r="T156" i="9"/>
  <c r="V156" i="9"/>
  <c r="W156" i="9"/>
  <c r="X156" i="9"/>
  <c r="J157" i="9"/>
  <c r="O157" i="9"/>
  <c r="Q157" i="9"/>
  <c r="S157" i="9"/>
  <c r="T157" i="9"/>
  <c r="V157" i="9"/>
  <c r="W157" i="9"/>
  <c r="X157" i="9"/>
  <c r="J158" i="9"/>
  <c r="O158" i="9"/>
  <c r="Q158" i="9"/>
  <c r="S158" i="9"/>
  <c r="T158" i="9"/>
  <c r="V158" i="9"/>
  <c r="W158" i="9"/>
  <c r="X158" i="9"/>
  <c r="J159" i="9"/>
  <c r="O159" i="9"/>
  <c r="Q159" i="9"/>
  <c r="S159" i="9"/>
  <c r="T159" i="9"/>
  <c r="V159" i="9"/>
  <c r="W159" i="9"/>
  <c r="X159" i="9"/>
  <c r="J160" i="9"/>
  <c r="O160" i="9"/>
  <c r="Q160" i="9"/>
  <c r="S160" i="9"/>
  <c r="T160" i="9"/>
  <c r="V160" i="9"/>
  <c r="W160" i="9"/>
  <c r="X160" i="9"/>
  <c r="J161" i="9"/>
  <c r="O161" i="9"/>
  <c r="Q161" i="9"/>
  <c r="S161" i="9"/>
  <c r="T161" i="9"/>
  <c r="V161" i="9"/>
  <c r="W161" i="9"/>
  <c r="X161" i="9"/>
  <c r="J162" i="9"/>
  <c r="O162" i="9"/>
  <c r="Q162" i="9"/>
  <c r="S162" i="9"/>
  <c r="T162" i="9"/>
  <c r="V162" i="9"/>
  <c r="W162" i="9"/>
  <c r="X162" i="9"/>
  <c r="J163" i="9"/>
  <c r="O163" i="9"/>
  <c r="Q163" i="9"/>
  <c r="S163" i="9"/>
  <c r="T163" i="9"/>
  <c r="V163" i="9"/>
  <c r="W163" i="9"/>
  <c r="X163" i="9"/>
  <c r="J164" i="9"/>
  <c r="O164" i="9"/>
  <c r="Q164" i="9"/>
  <c r="S164" i="9"/>
  <c r="T164" i="9"/>
  <c r="V164" i="9"/>
  <c r="W164" i="9"/>
  <c r="X164" i="9"/>
  <c r="J165" i="9"/>
  <c r="O165" i="9"/>
  <c r="Q165" i="9"/>
  <c r="S165" i="9"/>
  <c r="T165" i="9"/>
  <c r="V165" i="9"/>
  <c r="W165" i="9"/>
  <c r="X165" i="9"/>
  <c r="J166" i="9"/>
  <c r="O166" i="9"/>
  <c r="Q166" i="9"/>
  <c r="S166" i="9"/>
  <c r="T166" i="9"/>
  <c r="V166" i="9"/>
  <c r="W166" i="9"/>
  <c r="X166" i="9"/>
  <c r="J167" i="9"/>
  <c r="O167" i="9"/>
  <c r="Q167" i="9"/>
  <c r="S167" i="9"/>
  <c r="T167" i="9"/>
  <c r="V167" i="9"/>
  <c r="W167" i="9"/>
  <c r="X167" i="9"/>
  <c r="J168" i="9"/>
  <c r="O168" i="9"/>
  <c r="Q168" i="9"/>
  <c r="S168" i="9"/>
  <c r="T168" i="9"/>
  <c r="V168" i="9"/>
  <c r="W168" i="9"/>
  <c r="X168" i="9"/>
  <c r="J169" i="9"/>
  <c r="O169" i="9"/>
  <c r="Q169" i="9"/>
  <c r="S169" i="9"/>
  <c r="T169" i="9"/>
  <c r="V169" i="9"/>
  <c r="W169" i="9"/>
  <c r="X169" i="9"/>
  <c r="J170" i="9"/>
  <c r="O170" i="9"/>
  <c r="Q170" i="9"/>
  <c r="S170" i="9"/>
  <c r="T170" i="9"/>
  <c r="V170" i="9"/>
  <c r="W170" i="9"/>
  <c r="X170" i="9"/>
  <c r="J171" i="9"/>
  <c r="O171" i="9"/>
  <c r="Q171" i="9"/>
  <c r="S171" i="9"/>
  <c r="T171" i="9"/>
  <c r="V171" i="9"/>
  <c r="W171" i="9"/>
  <c r="X171" i="9"/>
  <c r="J172" i="9"/>
  <c r="O172" i="9"/>
  <c r="Q172" i="9"/>
  <c r="S172" i="9"/>
  <c r="T172" i="9"/>
  <c r="V172" i="9"/>
  <c r="W172" i="9"/>
  <c r="X172" i="9"/>
  <c r="J173" i="9"/>
  <c r="O173" i="9"/>
  <c r="Q173" i="9"/>
  <c r="S173" i="9"/>
  <c r="T173" i="9"/>
  <c r="V173" i="9"/>
  <c r="W173" i="9"/>
  <c r="X173" i="9"/>
  <c r="J174" i="9"/>
  <c r="O174" i="9"/>
  <c r="Q174" i="9"/>
  <c r="S174" i="9"/>
  <c r="T174" i="9"/>
  <c r="V174" i="9"/>
  <c r="W174" i="9"/>
  <c r="X174" i="9"/>
  <c r="J175" i="9"/>
  <c r="O175" i="9"/>
  <c r="Q175" i="9"/>
  <c r="S175" i="9"/>
  <c r="T175" i="9"/>
  <c r="V175" i="9"/>
  <c r="W175" i="9"/>
  <c r="X175" i="9"/>
  <c r="J176" i="9"/>
  <c r="O176" i="9"/>
  <c r="Q176" i="9"/>
  <c r="S176" i="9"/>
  <c r="T176" i="9"/>
  <c r="V176" i="9"/>
  <c r="W176" i="9"/>
  <c r="X176" i="9"/>
  <c r="J177" i="9"/>
  <c r="O177" i="9"/>
  <c r="Q177" i="9"/>
  <c r="S177" i="9"/>
  <c r="T177" i="9"/>
  <c r="V177" i="9"/>
  <c r="W177" i="9"/>
  <c r="X177" i="9"/>
  <c r="J178" i="9"/>
  <c r="O178" i="9"/>
  <c r="Q178" i="9"/>
  <c r="S178" i="9"/>
  <c r="T178" i="9"/>
  <c r="V178" i="9"/>
  <c r="W178" i="9"/>
  <c r="X178" i="9"/>
  <c r="J179" i="9"/>
  <c r="O179" i="9"/>
  <c r="Q179" i="9"/>
  <c r="S179" i="9"/>
  <c r="T179" i="9"/>
  <c r="V179" i="9"/>
  <c r="W179" i="9"/>
  <c r="X179" i="9"/>
  <c r="J180" i="9"/>
  <c r="O180" i="9"/>
  <c r="Q180" i="9"/>
  <c r="S180" i="9"/>
  <c r="T180" i="9"/>
  <c r="V180" i="9"/>
  <c r="W180" i="9"/>
  <c r="X180" i="9"/>
  <c r="J181" i="9"/>
  <c r="O181" i="9"/>
  <c r="Q181" i="9"/>
  <c r="V181" i="9"/>
  <c r="X181" i="9"/>
  <c r="J182" i="9"/>
  <c r="O182" i="9"/>
  <c r="Q182" i="9"/>
  <c r="V182" i="9"/>
  <c r="X182" i="9"/>
  <c r="J183" i="9"/>
  <c r="O183" i="9"/>
  <c r="Q183" i="9"/>
  <c r="V183" i="9"/>
  <c r="X183" i="9"/>
  <c r="J184" i="9"/>
  <c r="O184" i="9"/>
  <c r="Q184" i="9"/>
  <c r="V184" i="9"/>
  <c r="X184" i="9"/>
  <c r="J185" i="9"/>
  <c r="O185" i="9"/>
  <c r="Q185" i="9"/>
  <c r="V185" i="9"/>
  <c r="X185" i="9"/>
  <c r="J186" i="9"/>
  <c r="O186" i="9"/>
  <c r="Q186" i="9"/>
  <c r="V186" i="9"/>
  <c r="X186" i="9"/>
  <c r="J187" i="9"/>
  <c r="O187" i="9"/>
  <c r="Q187" i="9"/>
  <c r="V187" i="9"/>
  <c r="X187" i="9"/>
  <c r="J188" i="9"/>
  <c r="O188" i="9"/>
  <c r="Q188" i="9"/>
  <c r="V188" i="9"/>
  <c r="X188" i="9"/>
  <c r="J189" i="9"/>
  <c r="O189" i="9"/>
  <c r="Q189" i="9"/>
  <c r="V189" i="9"/>
  <c r="X189" i="9"/>
  <c r="J190" i="9"/>
  <c r="O190" i="9"/>
  <c r="Q190" i="9"/>
  <c r="V190" i="9"/>
  <c r="X190" i="9"/>
  <c r="J191" i="9"/>
  <c r="O191" i="9"/>
  <c r="Q191" i="9"/>
  <c r="V191" i="9"/>
  <c r="X191" i="9"/>
  <c r="J192" i="9"/>
  <c r="O192" i="9"/>
  <c r="Q192" i="9"/>
  <c r="V192" i="9"/>
  <c r="X192" i="9"/>
  <c r="J193" i="9"/>
  <c r="O193" i="9"/>
  <c r="Q193" i="9"/>
  <c r="V193" i="9"/>
  <c r="X193" i="9"/>
  <c r="J194" i="9"/>
  <c r="O194" i="9"/>
  <c r="Q194" i="9"/>
  <c r="V194" i="9"/>
  <c r="X194" i="9"/>
  <c r="J195" i="9"/>
  <c r="O195" i="9"/>
  <c r="Q195" i="9"/>
  <c r="V195" i="9"/>
  <c r="X195" i="9"/>
  <c r="J196" i="9"/>
  <c r="O196" i="9"/>
  <c r="Q196" i="9"/>
  <c r="V196" i="9"/>
  <c r="X196" i="9"/>
  <c r="J197" i="9"/>
  <c r="O197" i="9"/>
  <c r="Q197" i="9"/>
  <c r="V197" i="9"/>
  <c r="X197" i="9"/>
  <c r="J198" i="9"/>
  <c r="O198" i="9"/>
  <c r="Q198" i="9"/>
  <c r="V198" i="9"/>
  <c r="X198" i="9"/>
  <c r="J199" i="9"/>
  <c r="O199" i="9"/>
  <c r="Q199" i="9"/>
  <c r="V199" i="9"/>
  <c r="X199" i="9"/>
  <c r="J200" i="9"/>
  <c r="O200" i="9"/>
  <c r="Q200" i="9"/>
  <c r="V200" i="9"/>
  <c r="X200" i="9"/>
  <c r="J201" i="9"/>
  <c r="O201" i="9"/>
  <c r="Q201" i="9"/>
  <c r="V201" i="9"/>
  <c r="X201" i="9"/>
  <c r="J202" i="9"/>
  <c r="O202" i="9"/>
  <c r="Q202" i="9"/>
  <c r="V202" i="9"/>
  <c r="X202" i="9"/>
  <c r="J203" i="9"/>
  <c r="O203" i="9"/>
  <c r="Q203" i="9"/>
  <c r="V203" i="9"/>
  <c r="X203" i="9"/>
  <c r="J204" i="9"/>
  <c r="O204" i="9"/>
  <c r="Q204" i="9"/>
  <c r="V204" i="9"/>
  <c r="X204" i="9"/>
  <c r="J205" i="9"/>
  <c r="O205" i="9"/>
  <c r="Q205" i="9"/>
  <c r="V205" i="9"/>
  <c r="X205" i="9"/>
  <c r="J206" i="9"/>
  <c r="O206" i="9"/>
  <c r="Q206" i="9"/>
  <c r="V206" i="9"/>
  <c r="X206" i="9"/>
  <c r="J207" i="9"/>
  <c r="O207" i="9"/>
  <c r="Q207" i="9"/>
  <c r="V207" i="9"/>
  <c r="X207" i="9"/>
  <c r="J208" i="9"/>
  <c r="O208" i="9"/>
  <c r="Q208" i="9"/>
  <c r="V208" i="9"/>
  <c r="X208" i="9"/>
  <c r="J209" i="9"/>
  <c r="O209" i="9"/>
  <c r="Q209" i="9"/>
  <c r="V209" i="9"/>
  <c r="X209" i="9"/>
  <c r="J210" i="9"/>
  <c r="O210" i="9"/>
  <c r="Q210" i="9"/>
  <c r="V210" i="9"/>
  <c r="X210" i="9"/>
  <c r="J211" i="9"/>
  <c r="O211" i="9"/>
  <c r="Q211" i="9"/>
  <c r="V211" i="9"/>
  <c r="X211" i="9"/>
  <c r="J212" i="9"/>
  <c r="O212" i="9"/>
  <c r="Q212" i="9"/>
  <c r="V212" i="9"/>
  <c r="X212" i="9"/>
  <c r="J213" i="9"/>
  <c r="O213" i="9"/>
  <c r="Q213" i="9"/>
  <c r="V213" i="9"/>
  <c r="X213" i="9"/>
  <c r="J215" i="9"/>
  <c r="O215" i="9"/>
  <c r="Q215" i="9"/>
  <c r="S215" i="9"/>
  <c r="T215" i="9"/>
  <c r="V215" i="9"/>
  <c r="W215" i="9"/>
  <c r="X215" i="9"/>
  <c r="J216" i="9"/>
  <c r="O216" i="9"/>
  <c r="Q216" i="9"/>
  <c r="S216" i="9"/>
  <c r="T216" i="9"/>
  <c r="V216" i="9"/>
  <c r="W216" i="9"/>
  <c r="X216" i="9"/>
  <c r="J217" i="9"/>
  <c r="O217" i="9"/>
  <c r="Q217" i="9"/>
  <c r="S217" i="9"/>
  <c r="T217" i="9"/>
  <c r="V217" i="9"/>
  <c r="W217" i="9"/>
  <c r="X217" i="9"/>
  <c r="J218" i="9"/>
  <c r="O218" i="9"/>
  <c r="Q218" i="9"/>
  <c r="S218" i="9"/>
  <c r="T218" i="9"/>
  <c r="V218" i="9"/>
  <c r="W218" i="9"/>
  <c r="X218" i="9"/>
</calcChain>
</file>

<file path=xl/comments1.xml><?xml version="1.0" encoding="utf-8"?>
<comments xmlns="http://schemas.openxmlformats.org/spreadsheetml/2006/main">
  <authors>
    <author>nvu</author>
  </authors>
  <commentList>
    <comment ref="C47" authorId="0" shapeId="0">
      <text>
        <r>
          <rPr>
            <b/>
            <sz val="8"/>
            <color indexed="81"/>
            <rFont val="Tahoma"/>
          </rPr>
          <t>nvu:</t>
        </r>
        <r>
          <rPr>
            <sz val="8"/>
            <color indexed="81"/>
            <rFont val="Tahoma"/>
          </rPr>
          <t xml:space="preserve">
Deal #QV3052 3/02/01 per Agustin Perez.  Deal #QW0941 3/09/01 per DPR.</t>
        </r>
      </text>
    </comment>
  </commentList>
</comments>
</file>

<file path=xl/comments2.xml><?xml version="1.0" encoding="utf-8"?>
<comments xmlns="http://schemas.openxmlformats.org/spreadsheetml/2006/main">
  <authors>
    <author>aperez</author>
  </authors>
  <commentList>
    <comment ref="N105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06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07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08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09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0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1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2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3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4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5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  <comment ref="N116" authorId="0" shapeId="0">
      <text>
        <r>
          <rPr>
            <b/>
            <sz val="8"/>
            <color indexed="81"/>
            <rFont val="Tahoma"/>
          </rPr>
          <t xml:space="preserve">aperez:
Se le va a pagar 1.20 a Vitro cada mes como annuity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<sst xmlns="http://schemas.openxmlformats.org/spreadsheetml/2006/main" count="7824" uniqueCount="386">
  <si>
    <t>Trade Date</t>
  </si>
  <si>
    <t>Conterparty</t>
  </si>
  <si>
    <t>Commodity</t>
  </si>
  <si>
    <t>Index</t>
  </si>
  <si>
    <t>Structure</t>
  </si>
  <si>
    <t>Period</t>
  </si>
  <si>
    <t>Volume</t>
  </si>
  <si>
    <t>Units</t>
  </si>
  <si>
    <t>Origination</t>
  </si>
  <si>
    <t>TFM</t>
  </si>
  <si>
    <t>Heating Oil</t>
  </si>
  <si>
    <t>HO Nymex</t>
  </si>
  <si>
    <t>53.00 Call</t>
  </si>
  <si>
    <t>Vitro</t>
  </si>
  <si>
    <t>Natural Gas</t>
  </si>
  <si>
    <t>PG&amp;E-Tetco</t>
  </si>
  <si>
    <t>Fixed Price Swap</t>
  </si>
  <si>
    <t>Hylsa</t>
  </si>
  <si>
    <t>Zero Cost Collar</t>
  </si>
  <si>
    <t>NGI SoCal</t>
  </si>
  <si>
    <t>Enertek</t>
  </si>
  <si>
    <t>HSC</t>
  </si>
  <si>
    <t>Costless Collar</t>
  </si>
  <si>
    <t>Peñoles</t>
  </si>
  <si>
    <t>2.60 Call</t>
  </si>
  <si>
    <t>MMBtu</t>
  </si>
  <si>
    <t>Bbl</t>
  </si>
  <si>
    <t>2.600 / 1.910</t>
  </si>
  <si>
    <t>Price / Strike</t>
  </si>
  <si>
    <t>3.050 / 2.460</t>
  </si>
  <si>
    <t>3.190 / 2.510</t>
  </si>
  <si>
    <t>Total</t>
  </si>
  <si>
    <t>Lamosa Revestimentos</t>
  </si>
  <si>
    <t>Collar</t>
  </si>
  <si>
    <t>3.75 / 4.40</t>
  </si>
  <si>
    <t>Sanitarios Azteca</t>
  </si>
  <si>
    <t>IFERC Price</t>
  </si>
  <si>
    <t>Forward Curve</t>
  </si>
  <si>
    <t>Closed P/L</t>
  </si>
  <si>
    <t>Open 
P/L</t>
  </si>
  <si>
    <t>TOTAL
P/L</t>
  </si>
  <si>
    <t>Trade #</t>
  </si>
  <si>
    <t>Grupo Calidra</t>
  </si>
  <si>
    <t>3.50 / 7.00</t>
  </si>
  <si>
    <t>Fersinsa Gist-Brocades</t>
  </si>
  <si>
    <t>4.00 / 4.50</t>
  </si>
  <si>
    <t>Kimex</t>
  </si>
  <si>
    <t>3.00 / 9.00</t>
  </si>
  <si>
    <t>Colortex</t>
  </si>
  <si>
    <t>Compañia Industrial Kindy</t>
  </si>
  <si>
    <t>Deacero</t>
  </si>
  <si>
    <t>3.00 / 9.50</t>
  </si>
  <si>
    <t>Aceros Nacionales</t>
  </si>
  <si>
    <t>Alambres y Derivados</t>
  </si>
  <si>
    <t>Gas Natural Mexico</t>
  </si>
  <si>
    <t>3.00 / 9.20</t>
  </si>
  <si>
    <t>Acero</t>
  </si>
  <si>
    <t>Textil</t>
  </si>
  <si>
    <t>LDC / Autoparts</t>
  </si>
  <si>
    <t>Glass</t>
  </si>
  <si>
    <t>Ceramic</t>
  </si>
  <si>
    <t>Limestone</t>
  </si>
  <si>
    <t>Pharmaceutical</t>
  </si>
  <si>
    <t>Industry Type</t>
  </si>
  <si>
    <t>NW5256</t>
  </si>
  <si>
    <t>NW5317</t>
  </si>
  <si>
    <t>NW5370</t>
  </si>
  <si>
    <t>NW4893.1</t>
  </si>
  <si>
    <t>NW2995</t>
  </si>
  <si>
    <t>NW3167</t>
  </si>
  <si>
    <t>NW3037</t>
  </si>
  <si>
    <t>NW3262</t>
  </si>
  <si>
    <t>NW3215</t>
  </si>
  <si>
    <t>Arancia</t>
  </si>
  <si>
    <t>Extendible</t>
  </si>
  <si>
    <t>Extendible Period</t>
  </si>
  <si>
    <t>4.00 / 5.20</t>
  </si>
  <si>
    <t>Bimbo Chihuahua, S.A. de C.V.</t>
  </si>
  <si>
    <t>Bimbo del Golfo, S.A. de C.V.</t>
  </si>
  <si>
    <t>Bimbo del Norte, S.A. de C.V.</t>
  </si>
  <si>
    <t>Bimbo del Noroeste, S.A. de C.V.</t>
  </si>
  <si>
    <t xml:space="preserve">Bimbo de Baja California, S.A. de C.V. </t>
  </si>
  <si>
    <t>Bimbo de Occidente, S.A. de C.V.</t>
  </si>
  <si>
    <t>Bimbo de Puebla, S.A. de C.V.</t>
  </si>
  <si>
    <t>Bimbo de San Luis Potosí, S.A. de C.V.</t>
  </si>
  <si>
    <t>Bimbo del Sureste, S.A. de C.V.</t>
  </si>
  <si>
    <t>Bimbo de Toluca, S.A. de C.V.</t>
  </si>
  <si>
    <t>Panificación Bimbo, S.A. de C.V.</t>
  </si>
  <si>
    <t xml:space="preserve">Continental de Alimentos, S.A. de C.V. </t>
  </si>
  <si>
    <t xml:space="preserve">Suandy de México, S.A. de C.V. </t>
  </si>
  <si>
    <t xml:space="preserve">Productos Marinela, S.A. de C.V. </t>
  </si>
  <si>
    <t>Marinela Baja California, S.A. de C.V.</t>
  </si>
  <si>
    <t xml:space="preserve">Marinela del Norte, S.A. de C.V. </t>
  </si>
  <si>
    <t xml:space="preserve">Marinela de Occidente, S.A. de C.V. </t>
  </si>
  <si>
    <t>Marinela del Sureste, S.A. de C.V.</t>
  </si>
  <si>
    <t>Marilara, S.A. de C.V.</t>
  </si>
  <si>
    <t>Galletas Lara, S.A. de C.V.</t>
  </si>
  <si>
    <t xml:space="preserve">Barcel México, S.A. de C.V. </t>
  </si>
  <si>
    <t>Ricolino, S.A. de C.V.</t>
  </si>
  <si>
    <t xml:space="preserve">Industrial de Maíz, S.A. de C.V. </t>
  </si>
  <si>
    <t>Cementos Apasco</t>
  </si>
  <si>
    <t>3.25 / 7.10</t>
  </si>
  <si>
    <t>NV4984</t>
  </si>
  <si>
    <t>NV5335</t>
  </si>
  <si>
    <t>NW8010</t>
  </si>
  <si>
    <t>NW8011</t>
  </si>
  <si>
    <t>NW6273</t>
  </si>
  <si>
    <t>NW6351</t>
  </si>
  <si>
    <t>NW6371</t>
  </si>
  <si>
    <t>Cemex Mexico</t>
  </si>
  <si>
    <t>3.00 / 8.30</t>
  </si>
  <si>
    <t>Tubos de Acero de Mexico</t>
  </si>
  <si>
    <t>Call</t>
  </si>
  <si>
    <t>NW9446</t>
  </si>
  <si>
    <t>NW9450</t>
  </si>
  <si>
    <t>Industrias Derivadas del Etileno</t>
  </si>
  <si>
    <t>3.60 / 5.10</t>
  </si>
  <si>
    <t>Sintesis Organicas</t>
  </si>
  <si>
    <t>Poliestireno y Derivados</t>
  </si>
  <si>
    <t>Kimberly Clark de Mexico</t>
  </si>
  <si>
    <t>3.00 / 8.22</t>
  </si>
  <si>
    <t>Crisoba Industrial</t>
  </si>
  <si>
    <t>Comercializadora Metrogas</t>
  </si>
  <si>
    <t>NW9602</t>
  </si>
  <si>
    <t>NW9649</t>
  </si>
  <si>
    <t>NW9742 LEGS 3 &amp; 4</t>
  </si>
  <si>
    <t>NW9742 LEGS 5 &amp; 6</t>
  </si>
  <si>
    <t>NW9790 LEGS 1 &amp; 2</t>
  </si>
  <si>
    <t>NW9790 LEGS 3 &amp; 4</t>
  </si>
  <si>
    <t>TOTAL</t>
  </si>
  <si>
    <t>NX1037</t>
  </si>
  <si>
    <t>Industrias Monterrey</t>
  </si>
  <si>
    <t>3.00 / 8.62</t>
  </si>
  <si>
    <t>PMI</t>
  </si>
  <si>
    <t>Basis Swap</t>
  </si>
  <si>
    <t>NX1266 (1&amp;2)</t>
  </si>
  <si>
    <t>Mexichem</t>
  </si>
  <si>
    <t>3.90 / 4.70</t>
  </si>
  <si>
    <t>NX1266.3</t>
  </si>
  <si>
    <t>NX1486</t>
  </si>
  <si>
    <t>Papeles Higienicos de Mexico</t>
  </si>
  <si>
    <t>3.00 / 9.30</t>
  </si>
  <si>
    <t>Compañia Papelera Maldonado</t>
  </si>
  <si>
    <t>Procarsa</t>
  </si>
  <si>
    <t>3.00 / 9.10</t>
  </si>
  <si>
    <t>Compañia Mexicana de Tubos</t>
  </si>
  <si>
    <t>Sigosa</t>
  </si>
  <si>
    <t>PG&amp;E</t>
  </si>
  <si>
    <t>Tetco South Tx</t>
  </si>
  <si>
    <t>NW8838.1,  NW8838.2</t>
  </si>
  <si>
    <t>NW8771.7,  NW8771.8</t>
  </si>
  <si>
    <t>NW8771.5,  NW8771.6</t>
  </si>
  <si>
    <t>NW8771.3,  NW8771.4</t>
  </si>
  <si>
    <t>NW8771.1,  NW8771.2</t>
  </si>
  <si>
    <t>NW8838.3,  NW8838.4</t>
  </si>
  <si>
    <t>NW8838.5,  NW8838.6</t>
  </si>
  <si>
    <t>NW8838.7,  NW8838.8</t>
  </si>
  <si>
    <t>NW8893.3,  NW8893.4</t>
  </si>
  <si>
    <t>NW8878.1,  NW8878.2</t>
  </si>
  <si>
    <t>NW8878.5,  NW8878.6</t>
  </si>
  <si>
    <t>NW8893.5,  NW8893.6</t>
  </si>
  <si>
    <t>NW8878.7,  NW8878.8</t>
  </si>
  <si>
    <t>NW8878.3,  NW8878.4</t>
  </si>
  <si>
    <t>NW8893.1,  NW8893.2</t>
  </si>
  <si>
    <t>NW8903.1,  NW8903.2</t>
  </si>
  <si>
    <t>NW8893.7,  NW8893.8</t>
  </si>
  <si>
    <t>NW8903.7,  NW8903.8</t>
  </si>
  <si>
    <t>NW8903.3,  NW8903.4</t>
  </si>
  <si>
    <t>NW8917.1,  NW8917.2</t>
  </si>
  <si>
    <t>NW8903.5,  NW8903.6</t>
  </si>
  <si>
    <t>NW8917.3,  NW8917.4</t>
  </si>
  <si>
    <t>NW8917.5,  NW8917.6</t>
  </si>
  <si>
    <t>NW9742 (legs 1 &amp; 2).</t>
  </si>
  <si>
    <t>NX3659.1  y  NX3659.2</t>
  </si>
  <si>
    <t>NX3659.3  y  NX3659.4</t>
  </si>
  <si>
    <t>NX3659.5  y  NX3659.6</t>
  </si>
  <si>
    <t>NX3790.1  y  NX3790.2</t>
  </si>
  <si>
    <t>NX3790.3  y  NX3790.4</t>
  </si>
  <si>
    <t>NX4031</t>
  </si>
  <si>
    <t>NX3964</t>
  </si>
  <si>
    <t>LDC</t>
  </si>
  <si>
    <t>NQ8461.1 &amp; .2</t>
  </si>
  <si>
    <t>NL9674</t>
  </si>
  <si>
    <t>Compañia Minera Autlan</t>
  </si>
  <si>
    <t>Notional Value</t>
  </si>
  <si>
    <t>General de Cerámica</t>
  </si>
  <si>
    <t>4.50 / 5.75</t>
  </si>
  <si>
    <t>Credit Reserve</t>
  </si>
  <si>
    <t>BCF's</t>
  </si>
  <si>
    <t>Q15730 (legs 1 &amp; 2)</t>
  </si>
  <si>
    <t>Deal #</t>
  </si>
  <si>
    <t>Q15730 (legs 3 &amp; 4)</t>
  </si>
  <si>
    <t>Q15730 (legs 5 &amp; 6)</t>
  </si>
  <si>
    <t>Q15463</t>
  </si>
  <si>
    <t>Q06760.1</t>
  </si>
  <si>
    <t>Premium 
$ / mmbtu</t>
  </si>
  <si>
    <t>Premium 
$</t>
  </si>
  <si>
    <t>ENA buy Call</t>
  </si>
  <si>
    <t>ENA buy Fixed Price Swap</t>
  </si>
  <si>
    <t>Discount Factor</t>
  </si>
  <si>
    <t>Credit Days</t>
  </si>
  <si>
    <t>5B</t>
  </si>
  <si>
    <t>30N</t>
  </si>
  <si>
    <t>Kerdal</t>
  </si>
  <si>
    <t>Appliances</t>
  </si>
  <si>
    <t>Electric Generator</t>
  </si>
  <si>
    <t>Petrochemical</t>
  </si>
  <si>
    <t>Minning</t>
  </si>
  <si>
    <t>Steel</t>
  </si>
  <si>
    <t>Paper</t>
  </si>
  <si>
    <t>Food</t>
  </si>
  <si>
    <t>Cement</t>
  </si>
  <si>
    <t>Industrias Acros Whirpool - Vitro</t>
  </si>
  <si>
    <t>Q28741.1</t>
  </si>
  <si>
    <t>Q28741.2</t>
  </si>
  <si>
    <t>Q46791.1</t>
  </si>
  <si>
    <t>Fibras Quimicas</t>
  </si>
  <si>
    <t>Petrotemex</t>
  </si>
  <si>
    <t>5.50 / 4.35</t>
  </si>
  <si>
    <t>5.50 / 4.50</t>
  </si>
  <si>
    <t>5.50 / 4.52</t>
  </si>
  <si>
    <t>Univex</t>
  </si>
  <si>
    <t>Nylon</t>
  </si>
  <si>
    <t>5.50 / 4.30</t>
  </si>
  <si>
    <t>MEXICO ORIGINATIONS 2000</t>
  </si>
  <si>
    <t>Counterparty</t>
  </si>
  <si>
    <t xml:space="preserve"> </t>
  </si>
  <si>
    <t>Amount</t>
  </si>
  <si>
    <t>Granted</t>
  </si>
  <si>
    <t>Variance</t>
  </si>
  <si>
    <t>Description</t>
  </si>
  <si>
    <t>Vito</t>
  </si>
  <si>
    <t>Aug 00 - Mar 01 Fixed Price Swap Natural Gas</t>
  </si>
  <si>
    <t>Jul 00 - Mar 01 Fixed Price Swap Natural Gas</t>
  </si>
  <si>
    <t>Sep 00 - Feb 01 Collar Natural Gas</t>
  </si>
  <si>
    <t>Lamosa Revestimientos</t>
  </si>
  <si>
    <t>Fersinsa Gist</t>
  </si>
  <si>
    <t>Sep 00 - May 01 Collar Natural Gas</t>
  </si>
  <si>
    <t>Compania Industrial Kindy</t>
  </si>
  <si>
    <t>Sep 00 - Feb 01 Fixed Price Swap</t>
  </si>
  <si>
    <t>Sep 00 - Feb 01 Extendible Natural Gas. Volume includes 6 mos extendible. No origination.</t>
  </si>
  <si>
    <t>"</t>
  </si>
  <si>
    <t>Sep 00 - Feb 01 Call Natural Gas</t>
  </si>
  <si>
    <t>Sep 00 - Feb 01 Fixed Price Swap Natural Gas</t>
  </si>
  <si>
    <t>Sep 00 - Feb 01 Basis Swap Natural Gas</t>
  </si>
  <si>
    <t>Sep 00 - May 01 Fixed Price Swap Natural Gas</t>
  </si>
  <si>
    <t>Oct 00 - Sep 05 Fixed Price Swap Natural Gas (Includes $400,000 credit reserve).</t>
  </si>
  <si>
    <t>?</t>
  </si>
  <si>
    <t>Nov 00 - Feb 01 Collar Natural Gas</t>
  </si>
  <si>
    <t xml:space="preserve">Nov 00 - Mar 01 Fixed Price Swap Natural Gas </t>
  </si>
  <si>
    <t xml:space="preserve">Nov 00 - Jan 01 Fixed Price Swap Natural Gas </t>
  </si>
  <si>
    <t>Dec 00 - Jan 01 ENA buy Call</t>
  </si>
  <si>
    <t>Jan 01 ENA Fixed Price Swap</t>
  </si>
  <si>
    <t xml:space="preserve">Mar 01 - Dec 01 Fixed Price Swap Natural Gas </t>
  </si>
  <si>
    <t xml:space="preserve">Mar 01 - Sep 01 Fixed Price Swap Natural Gas </t>
  </si>
  <si>
    <t>Dec 00 - Jan 01 Collar Natural Gas</t>
  </si>
  <si>
    <t xml:space="preserve">Nov 00 - Sep 01 Fixed Price Swap Natural Gas </t>
  </si>
  <si>
    <t>Nov 00 - Jan 01 Collar Natural Gas</t>
  </si>
  <si>
    <t xml:space="preserve">Jan 01 Fixed Price Swap Natural Gas </t>
  </si>
  <si>
    <t xml:space="preserve">Dec 00 Fixed Price Swap Natural Gas </t>
  </si>
  <si>
    <t xml:space="preserve">Nov 00 Fixed Price Swap Natural Gas </t>
  </si>
  <si>
    <t>Nov 00 - Feb 02 ENA buy Fixed Price Swap</t>
  </si>
  <si>
    <t>Dec 00 - Jan 01 ENA buy Fixed Price Swap</t>
  </si>
  <si>
    <t>Cia. Papelera Maldonado</t>
  </si>
  <si>
    <t xml:space="preserve">Dec 00 - Mar 01 Call </t>
  </si>
  <si>
    <t>GRAND TOTAL</t>
  </si>
  <si>
    <t>Fibras Quimicas (Fiqua)</t>
  </si>
  <si>
    <t>Petrotemex (Alpex)</t>
  </si>
  <si>
    <t>Nov Totals</t>
  </si>
  <si>
    <t>Oct Totals</t>
  </si>
  <si>
    <t>Sep Totals</t>
  </si>
  <si>
    <t>Aug Totals</t>
  </si>
  <si>
    <t>Jul Totals</t>
  </si>
  <si>
    <t>Jun Totals</t>
  </si>
  <si>
    <t>Gas National de Mexico</t>
  </si>
  <si>
    <t>Is this Mexico Origination???</t>
  </si>
  <si>
    <t>Autlan</t>
  </si>
  <si>
    <t>Compania Minera Autlan</t>
  </si>
  <si>
    <t>Terminate deal Q61449.1 12/00-2/02 and deal Q06760.1 12/00-2/02 and pay Autlan $450,466</t>
  </si>
  <si>
    <t>Oct 00 - Sep 01 Extendible Natural Gas</t>
  </si>
  <si>
    <t>Apr 00 - Sep 00 Fixed Price Swap Natural Gas</t>
  </si>
  <si>
    <t>Grup Calidra</t>
  </si>
  <si>
    <t>Dec Totals</t>
  </si>
  <si>
    <t>Mar 02 - Sep 05 ENA Fixed Price Swap Natural Gas</t>
  </si>
  <si>
    <t>Jan 01 - Feb 01 Call Natural Gas</t>
  </si>
  <si>
    <t>Portion of Deal # 68 Granted in November</t>
  </si>
  <si>
    <t>Deal # 64 granted in October</t>
  </si>
  <si>
    <r>
      <t xml:space="preserve">Vitro </t>
    </r>
    <r>
      <rPr>
        <b/>
        <i/>
        <sz val="10"/>
        <color indexed="10"/>
        <rFont val="Arial"/>
        <family val="2"/>
      </rPr>
      <t>(variance granted in Nov</t>
    </r>
    <r>
      <rPr>
        <sz val="10"/>
        <rFont val="Arial"/>
      </rPr>
      <t>)</t>
    </r>
  </si>
  <si>
    <r>
      <t xml:space="preserve">General de Cerámica </t>
    </r>
    <r>
      <rPr>
        <b/>
        <i/>
        <sz val="10"/>
        <color indexed="10"/>
        <rFont val="Arial"/>
        <family val="2"/>
      </rPr>
      <t>(granted in Oct)</t>
    </r>
  </si>
  <si>
    <t>Jan 01 ENA buy Fixed Price Swap</t>
  </si>
  <si>
    <t>Jan 01 ENA buy Call sell Put Collar</t>
  </si>
  <si>
    <t>Jan 01 - Feb 01 Fixed Price Swap</t>
  </si>
  <si>
    <t>Jan 01 - Mar 01 Fixed Price Swap</t>
  </si>
  <si>
    <t>Settlement Contact</t>
  </si>
  <si>
    <t>000's USD</t>
  </si>
  <si>
    <t>USD</t>
  </si>
  <si>
    <t>Jennifer Blay</t>
  </si>
  <si>
    <t>Beatrice Reyna</t>
  </si>
  <si>
    <t>Terminated</t>
  </si>
  <si>
    <t>Q38842.1</t>
  </si>
  <si>
    <t>Q40562</t>
  </si>
  <si>
    <t>Q54217.1</t>
  </si>
  <si>
    <t>Q54217.4</t>
  </si>
  <si>
    <t>Q54271</t>
  </si>
  <si>
    <t>Q52281.1</t>
  </si>
  <si>
    <t>Q57074.1 y .2</t>
  </si>
  <si>
    <t>Q52319</t>
  </si>
  <si>
    <t>Q52183.1</t>
  </si>
  <si>
    <t>Q53855.1</t>
  </si>
  <si>
    <t>Q59140</t>
  </si>
  <si>
    <t>Q61449.1</t>
  </si>
  <si>
    <t>Q94259</t>
  </si>
  <si>
    <t>Partial termination</t>
  </si>
  <si>
    <t>QF8833</t>
  </si>
  <si>
    <t>QI3142.1</t>
  </si>
  <si>
    <t>QI3142.3</t>
  </si>
  <si>
    <t>QI1254</t>
  </si>
  <si>
    <t>ENA buy Call sell Put Collar</t>
  </si>
  <si>
    <t>QI1257.1</t>
  </si>
  <si>
    <t>QI1232</t>
  </si>
  <si>
    <t>QI1453</t>
  </si>
  <si>
    <t>QI1458</t>
  </si>
  <si>
    <t>QI3142.4</t>
  </si>
  <si>
    <t>ENA
Buy / Sell</t>
  </si>
  <si>
    <t>Origination 
$ / mmbtu</t>
  </si>
  <si>
    <t>Origination 
$</t>
  </si>
  <si>
    <t>QK2805.1</t>
  </si>
  <si>
    <t>Sell</t>
  </si>
  <si>
    <t>QK2805.2</t>
  </si>
  <si>
    <t>Buy</t>
  </si>
  <si>
    <t>Put</t>
  </si>
  <si>
    <t>QL1791.1</t>
  </si>
  <si>
    <t>Galvak</t>
  </si>
  <si>
    <t>Gas Natural México</t>
  </si>
  <si>
    <t>Swap</t>
  </si>
  <si>
    <t>Grupo Kimex</t>
  </si>
  <si>
    <t>QM7580</t>
  </si>
  <si>
    <t>QD7022.1</t>
  </si>
  <si>
    <t>QM4784-85</t>
  </si>
  <si>
    <t>Jan 2001 Totals</t>
  </si>
  <si>
    <t>MEXICO ORIGINATIONS 2001</t>
  </si>
  <si>
    <t>QR4615.1</t>
  </si>
  <si>
    <t>Grupo Industrial Saltillo</t>
  </si>
  <si>
    <t>QS5019</t>
  </si>
  <si>
    <t>QT2518</t>
  </si>
  <si>
    <t>QT2541</t>
  </si>
  <si>
    <t>Grupo IMSA</t>
  </si>
  <si>
    <t>Tetco-PG&amp;E</t>
  </si>
  <si>
    <t>QM4784 &amp; QM4785</t>
  </si>
  <si>
    <t>Autoparts</t>
  </si>
  <si>
    <t>QS1519</t>
  </si>
  <si>
    <t>Fuel Oil</t>
  </si>
  <si>
    <t>#6 3% USGC</t>
  </si>
  <si>
    <t>BBl</t>
  </si>
  <si>
    <t>Termination</t>
  </si>
  <si>
    <t>Partial Termination</t>
  </si>
  <si>
    <t>QV3052</t>
  </si>
  <si>
    <t>Tubos de Acero de México</t>
  </si>
  <si>
    <t>Tetco-PG&amp;E Gas Daily Midpoint</t>
  </si>
  <si>
    <t>Mar 01 - May 01 Call Natural Gas</t>
  </si>
  <si>
    <t>Feb 01 - Apr 01 Put Natural Gas</t>
  </si>
  <si>
    <t>Feb 01 - Sep 01 Swap Natural Gas</t>
  </si>
  <si>
    <t>Feb 01 Call &amp; Put Natural Gas</t>
  </si>
  <si>
    <t>Jan 03 - Dec 03 Swap Natural Gas</t>
  </si>
  <si>
    <t>Apr 02 - Dec 03 Swap Natural Gas</t>
  </si>
  <si>
    <t>Apr 01 - Mar 02 Swap Fuel Oil</t>
  </si>
  <si>
    <t>Feb 2001 Totals</t>
  </si>
  <si>
    <t>2001 GRAND TOTAL</t>
  </si>
  <si>
    <t>Per Veronica Hill (book administrator), this deal will</t>
  </si>
  <si>
    <t>be granted to Mexico on 3/21/01.</t>
  </si>
  <si>
    <t>Was included in Agustin's schedule 12/01/00.</t>
  </si>
  <si>
    <t>Mar 01 - Sep 01 Swap Natural Gas.  Per Errol</t>
  </si>
  <si>
    <t>McLaughlin, variance will be corrected 3/30/01.</t>
  </si>
  <si>
    <t>Mar 01 - Dec 01 Swap Natural Gas.  Per Errol</t>
  </si>
  <si>
    <t>Vitro Corporativo</t>
  </si>
  <si>
    <t>QW8224</t>
  </si>
  <si>
    <t>Annuity</t>
  </si>
  <si>
    <t>Correction of 2/16/01 Vitro Deal #QS5019.</t>
  </si>
  <si>
    <t>Correction of 2/22/01 Sanitarios Azteca Deal #QT2518.</t>
  </si>
  <si>
    <t>Correction of 2/23/01 Lamosa Revestimientos deal.</t>
  </si>
  <si>
    <t>Correction of 2/27/01 Vitro deal.</t>
  </si>
  <si>
    <t>Duplicate correction of 2/27/01 Vitro deal.  Contacted Errol McLaughlin.</t>
  </si>
  <si>
    <t>Mar 02 - Dec 03 Put Natural Gas</t>
  </si>
  <si>
    <t>QV3052 / Q70941</t>
  </si>
  <si>
    <t>Apr 01 - Dec 03 Swap Natural Gas</t>
  </si>
  <si>
    <t>Mar 2001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</si>
</sst>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8" formatCode="&quot;$&quot;#,##0.00_);[Red]\(&quot;$&quot;#,##0.00\)"/>
    <numFmt numFmtId="43" formatCode="_(* #,##0.00_);_(* \(#,##0.00\);_(* &quot;-&quot;??_);_(@_)"/>
    <numFmt numFmtId="164" formatCode="dd\-mmm\-yy"/>
    <numFmt numFmtId="165" formatCode="0.0000"/>
    <numFmt numFmtId="166" formatCode="&quot;$&quot;\ #,##0_);[Red]\(&quot;$&quot;\ #,##0\)"/>
    <numFmt numFmtId="167" formatCode="0.000"/>
    <numFmt numFmtId="168" formatCode="#,##0.0000"/>
    <numFmt numFmtId="169" formatCode="_(* #,##0_);_(* \(#,##0\);_(* &quot;-&quot;??_);_(@_)"/>
    <numFmt numFmtId="170" formatCode="_(* #,##0.0000_);_(* \(#,##0.0000\);_(* &quot;-&quot;????_);_(@_)"/>
    <numFmt numFmtId="171" formatCode="_(* #,##0.00_);_(* \(#,##0.00\);_(* &quot;-&quot;????_);_(@_)"/>
    <numFmt numFmtId="172" formatCode="_(* #,##0.000_);_(* \(#,##0.000\);_(* &quot;-&quot;???_);_(@_)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b/>
      <i/>
      <sz val="10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right" wrapText="1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7" fontId="2" fillId="0" borderId="0" xfId="0" applyNumberFormat="1" applyFont="1" applyAlignment="1">
      <alignment horizontal="center" wrapText="1"/>
    </xf>
    <xf numFmtId="165" fontId="0" fillId="0" borderId="0" xfId="0" applyNumberFormat="1"/>
    <xf numFmtId="5" fontId="2" fillId="0" borderId="2" xfId="0" applyNumberFormat="1" applyFont="1" applyBorder="1" applyAlignment="1">
      <alignment horizontal="center" vertical="center" wrapText="1"/>
    </xf>
    <xf numFmtId="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7" fontId="2" fillId="0" borderId="0" xfId="0" applyNumberFormat="1" applyFont="1"/>
    <xf numFmtId="165" fontId="2" fillId="0" borderId="0" xfId="0" applyNumberFormat="1" applyFont="1"/>
    <xf numFmtId="5" fontId="2" fillId="0" borderId="0" xfId="0" applyNumberFormat="1" applyFont="1"/>
    <xf numFmtId="0" fontId="3" fillId="0" borderId="0" xfId="0" applyFont="1"/>
    <xf numFmtId="3" fontId="2" fillId="0" borderId="2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4" fontId="2" fillId="0" borderId="0" xfId="0" applyNumberFormat="1" applyFont="1" applyAlignment="1">
      <alignment horizontal="right"/>
    </xf>
    <xf numFmtId="43" fontId="0" fillId="0" borderId="0" xfId="1" applyFont="1"/>
    <xf numFmtId="43" fontId="2" fillId="0" borderId="2" xfId="1" applyFont="1" applyBorder="1" applyAlignment="1">
      <alignment horizontal="center" vertical="center" wrapText="1"/>
    </xf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2" fillId="0" borderId="0" xfId="1" applyFont="1"/>
    <xf numFmtId="3" fontId="4" fillId="0" borderId="0" xfId="0" applyNumberFormat="1" applyFont="1" applyAlignment="1">
      <alignment horizontal="right"/>
    </xf>
    <xf numFmtId="43" fontId="4" fillId="0" borderId="0" xfId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43" fontId="4" fillId="0" borderId="0" xfId="1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167" fontId="4" fillId="0" borderId="0" xfId="0" applyNumberFormat="1" applyFont="1"/>
    <xf numFmtId="165" fontId="4" fillId="0" borderId="0" xfId="0" applyNumberFormat="1" applyFont="1"/>
    <xf numFmtId="5" fontId="4" fillId="0" borderId="0" xfId="0" applyNumberFormat="1" applyFont="1"/>
    <xf numFmtId="43" fontId="3" fillId="0" borderId="0" xfId="1" applyFont="1"/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14" fontId="0" fillId="0" borderId="0" xfId="0" applyNumberFormat="1"/>
    <xf numFmtId="38" fontId="0" fillId="0" borderId="0" xfId="0" applyNumberFormat="1"/>
    <xf numFmtId="40" fontId="0" fillId="0" borderId="0" xfId="0" applyNumberFormat="1"/>
    <xf numFmtId="38" fontId="0" fillId="0" borderId="0" xfId="0" applyNumberFormat="1" applyAlignment="1">
      <alignment horizontal="center"/>
    </xf>
    <xf numFmtId="38" fontId="0" fillId="0" borderId="3" xfId="0" applyNumberFormat="1" applyBorder="1"/>
    <xf numFmtId="0" fontId="0" fillId="0" borderId="3" xfId="0" applyBorder="1"/>
    <xf numFmtId="40" fontId="0" fillId="0" borderId="3" xfId="0" applyNumberFormat="1" applyBorder="1"/>
    <xf numFmtId="3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0" fontId="0" fillId="0" borderId="0" xfId="0" applyNumberFormat="1" applyAlignment="1">
      <alignment horizontal="center"/>
    </xf>
    <xf numFmtId="14" fontId="4" fillId="0" borderId="0" xfId="0" applyNumberFormat="1" applyFont="1"/>
    <xf numFmtId="38" fontId="4" fillId="0" borderId="4" xfId="0" applyNumberFormat="1" applyFont="1" applyBorder="1"/>
    <xf numFmtId="0" fontId="5" fillId="0" borderId="0" xfId="0" applyFont="1"/>
    <xf numFmtId="17" fontId="6" fillId="0" borderId="0" xfId="0" applyNumberFormat="1" applyFont="1" applyAlignment="1">
      <alignment horizontal="left"/>
    </xf>
    <xf numFmtId="14" fontId="7" fillId="0" borderId="0" xfId="0" applyNumberFormat="1" applyFont="1"/>
    <xf numFmtId="14" fontId="9" fillId="0" borderId="0" xfId="0" applyNumberFormat="1" applyFont="1"/>
    <xf numFmtId="0" fontId="9" fillId="0" borderId="0" xfId="0" applyFont="1"/>
    <xf numFmtId="38" fontId="9" fillId="0" borderId="0" xfId="0" applyNumberFormat="1" applyFont="1"/>
    <xf numFmtId="40" fontId="9" fillId="0" borderId="0" xfId="0" applyNumberFormat="1" applyFont="1"/>
    <xf numFmtId="38" fontId="9" fillId="0" borderId="0" xfId="0" applyNumberFormat="1" applyFont="1" applyAlignment="1">
      <alignment horizontal="center"/>
    </xf>
    <xf numFmtId="40" fontId="9" fillId="0" borderId="0" xfId="0" applyNumberFormat="1" applyFont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43" fontId="3" fillId="0" borderId="0" xfId="1" applyFont="1" applyAlignment="1">
      <alignment horizontal="center"/>
    </xf>
    <xf numFmtId="17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/>
    <xf numFmtId="165" fontId="3" fillId="0" borderId="0" xfId="0" applyNumberFormat="1" applyFont="1"/>
    <xf numFmtId="5" fontId="3" fillId="0" borderId="0" xfId="0" applyNumberFormat="1" applyFont="1"/>
    <xf numFmtId="169" fontId="2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/>
    <xf numFmtId="17" fontId="3" fillId="0" borderId="0" xfId="0" applyNumberFormat="1" applyFont="1" applyAlignment="1">
      <alignment horizontal="left"/>
    </xf>
    <xf numFmtId="170" fontId="2" fillId="0" borderId="2" xfId="0" applyNumberFormat="1" applyFont="1" applyBorder="1" applyAlignment="1">
      <alignment horizontal="center" vertical="center" wrapText="1"/>
    </xf>
    <xf numFmtId="170" fontId="3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right"/>
    </xf>
    <xf numFmtId="170" fontId="2" fillId="0" borderId="0" xfId="0" applyNumberFormat="1" applyFont="1" applyAlignment="1">
      <alignment horizontal="center" wrapText="1"/>
    </xf>
    <xf numFmtId="0" fontId="4" fillId="0" borderId="0" xfId="0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3" fillId="0" borderId="0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3" fillId="0" borderId="0" xfId="0" applyFont="1" applyBorder="1" applyAlignment="1">
      <alignment horizontal="left"/>
    </xf>
    <xf numFmtId="43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Continuous"/>
    </xf>
    <xf numFmtId="0" fontId="0" fillId="2" borderId="0" xfId="0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43" fontId="3" fillId="2" borderId="0" xfId="1" applyFont="1" applyFill="1" applyBorder="1" applyAlignment="1">
      <alignment horizontal="center"/>
    </xf>
    <xf numFmtId="4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0" borderId="0" xfId="0" applyFill="1"/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/>
    <xf numFmtId="43" fontId="3" fillId="0" borderId="0" xfId="1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71" fontId="2" fillId="3" borderId="2" xfId="1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172" fontId="2" fillId="3" borderId="2" xfId="0" applyNumberFormat="1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vertical="center" wrapText="1"/>
    </xf>
    <xf numFmtId="5" fontId="2" fillId="3" borderId="2" xfId="0" applyNumberFormat="1" applyFont="1" applyFill="1" applyBorder="1" applyAlignment="1">
      <alignment horizontal="center" vertical="center" wrapText="1"/>
    </xf>
    <xf numFmtId="171" fontId="3" fillId="3" borderId="0" xfId="1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43" fontId="3" fillId="3" borderId="0" xfId="1" applyFont="1" applyFill="1"/>
    <xf numFmtId="172" fontId="3" fillId="3" borderId="0" xfId="0" applyNumberFormat="1" applyFont="1" applyFill="1"/>
    <xf numFmtId="5" fontId="3" fillId="3" borderId="0" xfId="0" applyNumberFormat="1" applyFont="1" applyFill="1"/>
    <xf numFmtId="171" fontId="2" fillId="3" borderId="0" xfId="1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right"/>
    </xf>
    <xf numFmtId="172" fontId="2" fillId="3" borderId="0" xfId="0" applyNumberFormat="1" applyFont="1" applyFill="1"/>
    <xf numFmtId="43" fontId="2" fillId="3" borderId="0" xfId="1" applyFont="1" applyFill="1"/>
    <xf numFmtId="5" fontId="2" fillId="3" borderId="0" xfId="0" applyNumberFormat="1" applyFont="1" applyFill="1"/>
    <xf numFmtId="171" fontId="2" fillId="3" borderId="0" xfId="1" applyNumberFormat="1" applyFont="1" applyFill="1" applyAlignment="1">
      <alignment horizontal="center" wrapText="1"/>
    </xf>
    <xf numFmtId="3" fontId="2" fillId="3" borderId="0" xfId="0" applyNumberFormat="1" applyFont="1" applyFill="1" applyAlignment="1">
      <alignment horizontal="center" wrapText="1"/>
    </xf>
    <xf numFmtId="43" fontId="2" fillId="3" borderId="0" xfId="1" applyFont="1" applyFill="1" applyAlignment="1">
      <alignment horizontal="center" wrapText="1"/>
    </xf>
    <xf numFmtId="172" fontId="2" fillId="3" borderId="0" xfId="0" applyNumberFormat="1" applyFont="1" applyFill="1" applyAlignment="1">
      <alignment horizontal="center" wrapText="1"/>
    </xf>
    <xf numFmtId="5" fontId="2" fillId="3" borderId="0" xfId="0" applyNumberFormat="1" applyFont="1" applyFill="1" applyAlignment="1">
      <alignment horizontal="center" wrapText="1"/>
    </xf>
    <xf numFmtId="43" fontId="3" fillId="2" borderId="1" xfId="1" applyFont="1" applyFill="1" applyBorder="1" applyAlignment="1">
      <alignment horizontal="center"/>
    </xf>
    <xf numFmtId="0" fontId="0" fillId="2" borderId="0" xfId="0" applyFill="1"/>
    <xf numFmtId="43" fontId="0" fillId="2" borderId="0" xfId="1" applyFont="1" applyFill="1" applyAlignment="1">
      <alignment horizontal="center"/>
    </xf>
    <xf numFmtId="14" fontId="4" fillId="0" borderId="0" xfId="0" applyNumberFormat="1" applyFont="1" applyAlignment="1">
      <alignment horizontal="left"/>
    </xf>
    <xf numFmtId="3" fontId="3" fillId="2" borderId="0" xfId="0" applyNumberFormat="1" applyFont="1" applyFill="1" applyAlignment="1">
      <alignment horizontal="right"/>
    </xf>
    <xf numFmtId="8" fontId="0" fillId="0" borderId="3" xfId="0" applyNumberFormat="1" applyBorder="1"/>
    <xf numFmtId="40" fontId="4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40" fontId="3" fillId="0" borderId="0" xfId="0" applyNumberFormat="1" applyFont="1" applyFill="1" applyAlignment="1">
      <alignment horizontal="right"/>
    </xf>
    <xf numFmtId="8" fontId="4" fillId="0" borderId="4" xfId="0" applyNumberFormat="1" applyFont="1" applyBorder="1"/>
    <xf numFmtId="171" fontId="2" fillId="4" borderId="2" xfId="1" applyNumberFormat="1" applyFont="1" applyFill="1" applyBorder="1" applyAlignment="1">
      <alignment horizontal="center" vertical="center" wrapText="1"/>
    </xf>
    <xf numFmtId="43" fontId="3" fillId="4" borderId="0" xfId="1" applyFont="1" applyFill="1"/>
    <xf numFmtId="169" fontId="2" fillId="4" borderId="0" xfId="1" applyNumberFormat="1" applyFont="1" applyFill="1" applyAlignment="1">
      <alignment horizontal="right"/>
    </xf>
    <xf numFmtId="43" fontId="3" fillId="4" borderId="0" xfId="1" applyFont="1" applyFill="1" applyAlignment="1">
      <alignment horizontal="center"/>
    </xf>
    <xf numFmtId="43" fontId="2" fillId="4" borderId="0" xfId="1" applyFont="1" applyFill="1" applyAlignment="1">
      <alignment horizontal="center" wrapText="1"/>
    </xf>
    <xf numFmtId="38" fontId="0" fillId="0" borderId="0" xfId="0" applyNumberFormat="1" applyBorder="1"/>
    <xf numFmtId="8" fontId="0" fillId="0" borderId="0" xfId="0" applyNumberFormat="1" applyBorder="1"/>
    <xf numFmtId="38" fontId="0" fillId="2" borderId="0" xfId="0" applyNumberFormat="1" applyFill="1" applyBorder="1"/>
    <xf numFmtId="38" fontId="0" fillId="2" borderId="0" xfId="0" applyNumberFormat="1" applyFill="1"/>
    <xf numFmtId="0" fontId="3" fillId="2" borderId="0" xfId="0" applyFont="1" applyFill="1" applyAlignment="1">
      <alignment horizontal="left"/>
    </xf>
    <xf numFmtId="38" fontId="0" fillId="0" borderId="0" xfId="0" applyNumberFormat="1" applyFill="1" applyBorder="1"/>
    <xf numFmtId="38" fontId="0" fillId="0" borderId="0" xfId="0" applyNumberFormat="1" applyFill="1"/>
    <xf numFmtId="0" fontId="3" fillId="0" borderId="0" xfId="0" applyFont="1" applyFill="1" applyAlignment="1">
      <alignment horizontal="left"/>
    </xf>
    <xf numFmtId="40" fontId="0" fillId="0" borderId="0" xfId="0" applyNumberFormat="1" applyBorder="1"/>
    <xf numFmtId="14" fontId="0" fillId="2" borderId="0" xfId="0" applyNumberFormat="1" applyFill="1" applyAlignment="1">
      <alignment horizontal="center"/>
    </xf>
    <xf numFmtId="40" fontId="0" fillId="2" borderId="0" xfId="0" applyNumberFormat="1" applyFill="1" applyBorder="1"/>
    <xf numFmtId="38" fontId="0" fillId="0" borderId="4" xfId="0" applyNumberFormat="1" applyBorder="1"/>
    <xf numFmtId="8" fontId="0" fillId="0" borderId="0" xfId="0" applyNumberFormat="1" applyFill="1" applyBorder="1"/>
    <xf numFmtId="3" fontId="3" fillId="0" borderId="0" xfId="0" applyNumberFormat="1" applyFont="1" applyFill="1" applyAlignment="1">
      <alignment horizontal="right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vu/Local%20Settings/Temporary%20Internet%20Files/OLK34/Trades-Agust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rades-Agustin%200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9"/>
      <sheetName val="2000"/>
      <sheetName val="2001"/>
      <sheetName val="Prices"/>
      <sheetName val="FWD Prices"/>
    </sheetNames>
    <sheetDataSet>
      <sheetData sheetId="0"/>
      <sheetData sheetId="1"/>
      <sheetData sheetId="2"/>
      <sheetData sheetId="3">
        <row r="2">
          <cell r="A2" t="str">
            <v xml:space="preserve"> </v>
          </cell>
          <cell r="B2" t="str">
            <v>HH</v>
          </cell>
          <cell r="C2" t="str">
            <v>HSC</v>
          </cell>
          <cell r="D2" t="str">
            <v>NX1</v>
          </cell>
          <cell r="E2" t="str">
            <v>NX3</v>
          </cell>
          <cell r="F2" t="str">
            <v>Permian</v>
          </cell>
          <cell r="G2" t="str">
            <v>PG&amp;E</v>
          </cell>
          <cell r="H2" t="str">
            <v>San Juan</v>
          </cell>
          <cell r="I2" t="str">
            <v>Tetco</v>
          </cell>
          <cell r="J2" t="str">
            <v>Tetco-PG&amp;E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  <row r="15">
          <cell r="A15">
            <v>36495</v>
          </cell>
        </row>
        <row r="16">
          <cell r="A16">
            <v>36526</v>
          </cell>
        </row>
        <row r="17">
          <cell r="A17">
            <v>36557</v>
          </cell>
        </row>
        <row r="18">
          <cell r="A18">
            <v>36586</v>
          </cell>
        </row>
        <row r="19">
          <cell r="A19">
            <v>36617</v>
          </cell>
        </row>
        <row r="20">
          <cell r="A20">
            <v>36647</v>
          </cell>
        </row>
        <row r="21">
          <cell r="A21">
            <v>36678</v>
          </cell>
        </row>
        <row r="22">
          <cell r="A22">
            <v>36708</v>
          </cell>
        </row>
        <row r="23">
          <cell r="A23">
            <v>36739</v>
          </cell>
        </row>
        <row r="24">
          <cell r="A24">
            <v>36770</v>
          </cell>
        </row>
        <row r="25">
          <cell r="A25">
            <v>36800</v>
          </cell>
        </row>
        <row r="26">
          <cell r="A26">
            <v>36831</v>
          </cell>
        </row>
        <row r="27">
          <cell r="A27">
            <v>36861</v>
          </cell>
        </row>
        <row r="28">
          <cell r="A28">
            <v>36892</v>
          </cell>
        </row>
        <row r="29">
          <cell r="A29">
            <v>36923</v>
          </cell>
          <cell r="B29">
            <v>6.22</v>
          </cell>
          <cell r="C29">
            <v>6.24</v>
          </cell>
          <cell r="F29">
            <v>6.65</v>
          </cell>
          <cell r="G29">
            <v>5.89</v>
          </cell>
          <cell r="H29">
            <v>6.24</v>
          </cell>
          <cell r="I29">
            <v>5.8</v>
          </cell>
          <cell r="J29">
            <v>5.8449999999999998</v>
          </cell>
        </row>
        <row r="30">
          <cell r="A30">
            <v>36951</v>
          </cell>
        </row>
        <row r="31">
          <cell r="A31">
            <v>36982</v>
          </cell>
        </row>
        <row r="32">
          <cell r="A32">
            <v>37012</v>
          </cell>
        </row>
        <row r="33">
          <cell r="A33">
            <v>37043</v>
          </cell>
        </row>
        <row r="34">
          <cell r="A34">
            <v>37073</v>
          </cell>
        </row>
        <row r="35">
          <cell r="A35">
            <v>37104</v>
          </cell>
        </row>
        <row r="36">
          <cell r="A36">
            <v>37135</v>
          </cell>
        </row>
        <row r="37">
          <cell r="A37">
            <v>37165</v>
          </cell>
        </row>
        <row r="38">
          <cell r="A38">
            <v>37196</v>
          </cell>
        </row>
        <row r="39">
          <cell r="A39">
            <v>37226</v>
          </cell>
        </row>
        <row r="40">
          <cell r="A40">
            <v>37257</v>
          </cell>
        </row>
        <row r="41">
          <cell r="A41">
            <v>37288</v>
          </cell>
        </row>
        <row r="42">
          <cell r="A42">
            <v>37316</v>
          </cell>
        </row>
        <row r="43">
          <cell r="A43">
            <v>37347</v>
          </cell>
        </row>
        <row r="44">
          <cell r="A44">
            <v>37377</v>
          </cell>
        </row>
        <row r="45">
          <cell r="A45">
            <v>37408</v>
          </cell>
        </row>
        <row r="46">
          <cell r="A46">
            <v>37438</v>
          </cell>
        </row>
        <row r="47">
          <cell r="A47">
            <v>37469</v>
          </cell>
        </row>
        <row r="48">
          <cell r="A48">
            <v>37500</v>
          </cell>
        </row>
        <row r="49">
          <cell r="A49">
            <v>37530</v>
          </cell>
        </row>
        <row r="50">
          <cell r="A50">
            <v>37561</v>
          </cell>
        </row>
        <row r="51">
          <cell r="A51">
            <v>37591</v>
          </cell>
        </row>
        <row r="52">
          <cell r="A52">
            <v>37622</v>
          </cell>
        </row>
        <row r="53">
          <cell r="A53">
            <v>37653</v>
          </cell>
        </row>
        <row r="54">
          <cell r="A54">
            <v>37681</v>
          </cell>
        </row>
        <row r="55">
          <cell r="A55">
            <v>37712</v>
          </cell>
        </row>
        <row r="56">
          <cell r="A56">
            <v>37742</v>
          </cell>
        </row>
        <row r="57">
          <cell r="A57">
            <v>37773</v>
          </cell>
        </row>
        <row r="58">
          <cell r="A58">
            <v>37803</v>
          </cell>
        </row>
        <row r="59">
          <cell r="A59">
            <v>37834</v>
          </cell>
        </row>
        <row r="60">
          <cell r="A60">
            <v>37865</v>
          </cell>
        </row>
        <row r="61">
          <cell r="A61">
            <v>37895</v>
          </cell>
        </row>
        <row r="62">
          <cell r="A62">
            <v>37926</v>
          </cell>
        </row>
        <row r="63">
          <cell r="A63">
            <v>37956</v>
          </cell>
        </row>
        <row r="64">
          <cell r="A64">
            <v>37987</v>
          </cell>
        </row>
        <row r="65">
          <cell r="A65">
            <v>38018</v>
          </cell>
        </row>
        <row r="66">
          <cell r="A66">
            <v>38047</v>
          </cell>
        </row>
        <row r="67">
          <cell r="A67">
            <v>38078</v>
          </cell>
        </row>
        <row r="68">
          <cell r="A68">
            <v>38108</v>
          </cell>
        </row>
        <row r="69">
          <cell r="A69">
            <v>38139</v>
          </cell>
        </row>
        <row r="70">
          <cell r="A70">
            <v>38169</v>
          </cell>
        </row>
        <row r="71">
          <cell r="A71">
            <v>38200</v>
          </cell>
        </row>
        <row r="72">
          <cell r="A72">
            <v>38231</v>
          </cell>
        </row>
        <row r="73">
          <cell r="A73">
            <v>38261</v>
          </cell>
        </row>
        <row r="74">
          <cell r="A74">
            <v>38292</v>
          </cell>
        </row>
        <row r="75">
          <cell r="A75">
            <v>38322</v>
          </cell>
        </row>
        <row r="76">
          <cell r="A76">
            <v>38353</v>
          </cell>
        </row>
        <row r="77">
          <cell r="A77">
            <v>38384</v>
          </cell>
        </row>
        <row r="78">
          <cell r="A78">
            <v>38412</v>
          </cell>
        </row>
        <row r="79">
          <cell r="A79">
            <v>38443</v>
          </cell>
        </row>
        <row r="80">
          <cell r="A80">
            <v>38473</v>
          </cell>
        </row>
        <row r="81">
          <cell r="A81">
            <v>38504</v>
          </cell>
        </row>
        <row r="82">
          <cell r="A82">
            <v>38534</v>
          </cell>
        </row>
        <row r="83">
          <cell r="A83">
            <v>38565</v>
          </cell>
        </row>
        <row r="84">
          <cell r="A84">
            <v>38596</v>
          </cell>
        </row>
        <row r="85">
          <cell r="A85">
            <v>38626</v>
          </cell>
        </row>
        <row r="86">
          <cell r="A86">
            <v>38657</v>
          </cell>
        </row>
        <row r="87">
          <cell r="A87">
            <v>38687</v>
          </cell>
        </row>
        <row r="88">
          <cell r="A88">
            <v>38718</v>
          </cell>
        </row>
        <row r="89">
          <cell r="A89">
            <v>38749</v>
          </cell>
        </row>
        <row r="90">
          <cell r="A90">
            <v>38777</v>
          </cell>
        </row>
        <row r="91">
          <cell r="A91">
            <v>38808</v>
          </cell>
        </row>
        <row r="92">
          <cell r="A92">
            <v>38838</v>
          </cell>
        </row>
        <row r="93">
          <cell r="A93">
            <v>38869</v>
          </cell>
        </row>
        <row r="94">
          <cell r="A94">
            <v>38899</v>
          </cell>
        </row>
        <row r="95">
          <cell r="A95">
            <v>38930</v>
          </cell>
        </row>
        <row r="96">
          <cell r="A96">
            <v>38961</v>
          </cell>
        </row>
        <row r="97">
          <cell r="A97">
            <v>38991</v>
          </cell>
        </row>
        <row r="98">
          <cell r="A98">
            <v>39022</v>
          </cell>
        </row>
        <row r="99">
          <cell r="A99">
            <v>39052</v>
          </cell>
        </row>
        <row r="100">
          <cell r="A100">
            <v>39083</v>
          </cell>
        </row>
        <row r="101">
          <cell r="A101">
            <v>39114</v>
          </cell>
        </row>
        <row r="102">
          <cell r="A102">
            <v>39142</v>
          </cell>
        </row>
        <row r="103">
          <cell r="A103">
            <v>39173</v>
          </cell>
        </row>
        <row r="104">
          <cell r="A104">
            <v>39203</v>
          </cell>
        </row>
        <row r="105">
          <cell r="A105">
            <v>39234</v>
          </cell>
        </row>
        <row r="106">
          <cell r="A106">
            <v>39264</v>
          </cell>
        </row>
        <row r="107">
          <cell r="A107">
            <v>39295</v>
          </cell>
        </row>
        <row r="108">
          <cell r="A108">
            <v>39326</v>
          </cell>
        </row>
        <row r="109">
          <cell r="A109">
            <v>39356</v>
          </cell>
        </row>
        <row r="110">
          <cell r="A110">
            <v>39387</v>
          </cell>
        </row>
        <row r="111">
          <cell r="A111">
            <v>39417</v>
          </cell>
        </row>
        <row r="112">
          <cell r="A112">
            <v>39448</v>
          </cell>
        </row>
        <row r="113">
          <cell r="A113">
            <v>39479</v>
          </cell>
        </row>
        <row r="114">
          <cell r="A114">
            <v>39508</v>
          </cell>
        </row>
        <row r="115">
          <cell r="A115">
            <v>39539</v>
          </cell>
        </row>
        <row r="116">
          <cell r="A116">
            <v>39569</v>
          </cell>
        </row>
        <row r="117">
          <cell r="A117">
            <v>39600</v>
          </cell>
        </row>
        <row r="118">
          <cell r="A118">
            <v>39630</v>
          </cell>
        </row>
        <row r="119">
          <cell r="A119">
            <v>39661</v>
          </cell>
        </row>
        <row r="120">
          <cell r="A120">
            <v>39692</v>
          </cell>
        </row>
        <row r="121">
          <cell r="A121">
            <v>39722</v>
          </cell>
        </row>
        <row r="122">
          <cell r="A122">
            <v>39753</v>
          </cell>
        </row>
        <row r="123">
          <cell r="A123">
            <v>39783</v>
          </cell>
        </row>
        <row r="124">
          <cell r="A124">
            <v>39814</v>
          </cell>
        </row>
        <row r="125">
          <cell r="A125">
            <v>39845</v>
          </cell>
        </row>
        <row r="126">
          <cell r="A126">
            <v>39873</v>
          </cell>
        </row>
        <row r="127">
          <cell r="A127">
            <v>39904</v>
          </cell>
        </row>
        <row r="128">
          <cell r="A128">
            <v>39934</v>
          </cell>
        </row>
        <row r="129">
          <cell r="A129">
            <v>39965</v>
          </cell>
        </row>
        <row r="130">
          <cell r="A130">
            <v>39995</v>
          </cell>
        </row>
        <row r="131">
          <cell r="A131">
            <v>40026</v>
          </cell>
        </row>
        <row r="132">
          <cell r="A132">
            <v>40057</v>
          </cell>
        </row>
        <row r="133">
          <cell r="A133">
            <v>40087</v>
          </cell>
        </row>
        <row r="134">
          <cell r="A134">
            <v>40118</v>
          </cell>
        </row>
        <row r="135">
          <cell r="A135">
            <v>40148</v>
          </cell>
        </row>
        <row r="136">
          <cell r="A136">
            <v>40179</v>
          </cell>
        </row>
        <row r="137">
          <cell r="A137">
            <v>40210</v>
          </cell>
        </row>
        <row r="138">
          <cell r="A138">
            <v>40238</v>
          </cell>
        </row>
        <row r="139">
          <cell r="A139">
            <v>40269</v>
          </cell>
        </row>
        <row r="140">
          <cell r="A140">
            <v>40299</v>
          </cell>
        </row>
        <row r="141">
          <cell r="A141">
            <v>40330</v>
          </cell>
        </row>
        <row r="142">
          <cell r="A142">
            <v>40360</v>
          </cell>
        </row>
        <row r="143">
          <cell r="A143">
            <v>40391</v>
          </cell>
        </row>
        <row r="144">
          <cell r="A144">
            <v>40422</v>
          </cell>
        </row>
        <row r="145">
          <cell r="A145">
            <v>40452</v>
          </cell>
        </row>
        <row r="146">
          <cell r="A146">
            <v>40483</v>
          </cell>
        </row>
        <row r="147">
          <cell r="A147">
            <v>40513</v>
          </cell>
        </row>
        <row r="148">
          <cell r="A148">
            <v>40544</v>
          </cell>
        </row>
        <row r="149">
          <cell r="A149">
            <v>40575</v>
          </cell>
        </row>
        <row r="150">
          <cell r="A150">
            <v>40603</v>
          </cell>
        </row>
        <row r="151">
          <cell r="A151">
            <v>40634</v>
          </cell>
        </row>
        <row r="152">
          <cell r="A152">
            <v>40664</v>
          </cell>
        </row>
        <row r="153">
          <cell r="A153">
            <v>40695</v>
          </cell>
        </row>
        <row r="154">
          <cell r="A154">
            <v>40725</v>
          </cell>
        </row>
        <row r="155">
          <cell r="A155">
            <v>40756</v>
          </cell>
        </row>
        <row r="156">
          <cell r="A156">
            <v>40787</v>
          </cell>
        </row>
        <row r="157">
          <cell r="A157">
            <v>40817</v>
          </cell>
        </row>
        <row r="158">
          <cell r="A158">
            <v>40848</v>
          </cell>
        </row>
        <row r="159">
          <cell r="A159">
            <v>40878</v>
          </cell>
        </row>
        <row r="160">
          <cell r="A160">
            <v>40909</v>
          </cell>
        </row>
        <row r="161">
          <cell r="A161">
            <v>40940</v>
          </cell>
        </row>
        <row r="162">
          <cell r="A162">
            <v>40969</v>
          </cell>
        </row>
        <row r="163">
          <cell r="A163">
            <v>41000</v>
          </cell>
        </row>
        <row r="164">
          <cell r="A164">
            <v>41030</v>
          </cell>
        </row>
        <row r="165">
          <cell r="A165">
            <v>41061</v>
          </cell>
        </row>
        <row r="166">
          <cell r="A166">
            <v>41091</v>
          </cell>
        </row>
        <row r="167">
          <cell r="A167">
            <v>41122</v>
          </cell>
        </row>
        <row r="168">
          <cell r="A168">
            <v>41153</v>
          </cell>
        </row>
        <row r="169">
          <cell r="A169">
            <v>41183</v>
          </cell>
        </row>
        <row r="170">
          <cell r="A170">
            <v>41214</v>
          </cell>
        </row>
        <row r="171">
          <cell r="A171">
            <v>41244</v>
          </cell>
        </row>
        <row r="172">
          <cell r="A172">
            <v>41275</v>
          </cell>
        </row>
        <row r="173">
          <cell r="A173">
            <v>41306</v>
          </cell>
        </row>
        <row r="174">
          <cell r="A174">
            <v>41334</v>
          </cell>
        </row>
        <row r="175">
          <cell r="A175">
            <v>41365</v>
          </cell>
        </row>
        <row r="176">
          <cell r="A176">
            <v>41395</v>
          </cell>
        </row>
        <row r="177">
          <cell r="A177">
            <v>41426</v>
          </cell>
        </row>
        <row r="178">
          <cell r="A178">
            <v>41456</v>
          </cell>
        </row>
        <row r="179">
          <cell r="A179">
            <v>41487</v>
          </cell>
        </row>
        <row r="180">
          <cell r="A180">
            <v>41518</v>
          </cell>
        </row>
        <row r="181">
          <cell r="A181">
            <v>41548</v>
          </cell>
        </row>
        <row r="182">
          <cell r="A182">
            <v>41579</v>
          </cell>
        </row>
        <row r="183">
          <cell r="A183">
            <v>41609</v>
          </cell>
        </row>
        <row r="184">
          <cell r="A184">
            <v>41640</v>
          </cell>
        </row>
        <row r="185">
          <cell r="A185">
            <v>41671</v>
          </cell>
        </row>
        <row r="186">
          <cell r="A186">
            <v>41699</v>
          </cell>
        </row>
        <row r="187">
          <cell r="A187">
            <v>41730</v>
          </cell>
        </row>
        <row r="188">
          <cell r="A188">
            <v>41760</v>
          </cell>
        </row>
        <row r="189">
          <cell r="A189">
            <v>41791</v>
          </cell>
        </row>
        <row r="190">
          <cell r="A190">
            <v>41821</v>
          </cell>
        </row>
        <row r="191">
          <cell r="A191">
            <v>41852</v>
          </cell>
        </row>
        <row r="192">
          <cell r="A192">
            <v>41883</v>
          </cell>
        </row>
        <row r="193">
          <cell r="A193">
            <v>41913</v>
          </cell>
        </row>
        <row r="194">
          <cell r="A194">
            <v>41944</v>
          </cell>
        </row>
        <row r="195">
          <cell r="A195">
            <v>41974</v>
          </cell>
        </row>
        <row r="196">
          <cell r="A196">
            <v>42005</v>
          </cell>
        </row>
        <row r="197">
          <cell r="A197">
            <v>42036</v>
          </cell>
        </row>
        <row r="198">
          <cell r="A198">
            <v>42064</v>
          </cell>
        </row>
        <row r="199">
          <cell r="A199">
            <v>42095</v>
          </cell>
        </row>
        <row r="200">
          <cell r="A200">
            <v>42125</v>
          </cell>
        </row>
        <row r="201">
          <cell r="A201">
            <v>42156</v>
          </cell>
        </row>
        <row r="202">
          <cell r="A202">
            <v>42186</v>
          </cell>
        </row>
        <row r="203">
          <cell r="A203">
            <v>42217</v>
          </cell>
        </row>
        <row r="204">
          <cell r="A204">
            <v>42248</v>
          </cell>
        </row>
        <row r="205">
          <cell r="A205">
            <v>42278</v>
          </cell>
        </row>
        <row r="206">
          <cell r="A206">
            <v>42309</v>
          </cell>
        </row>
        <row r="207">
          <cell r="A207">
            <v>42339</v>
          </cell>
        </row>
        <row r="208">
          <cell r="A208">
            <v>42370</v>
          </cell>
        </row>
        <row r="209">
          <cell r="A209">
            <v>42401</v>
          </cell>
        </row>
        <row r="210">
          <cell r="A210">
            <v>42430</v>
          </cell>
        </row>
        <row r="211">
          <cell r="A211">
            <v>42461</v>
          </cell>
        </row>
        <row r="212">
          <cell r="A212">
            <v>42491</v>
          </cell>
        </row>
        <row r="213">
          <cell r="A213">
            <v>42522</v>
          </cell>
        </row>
        <row r="214">
          <cell r="A214">
            <v>42552</v>
          </cell>
        </row>
        <row r="215">
          <cell r="A215">
            <v>42583</v>
          </cell>
        </row>
        <row r="216">
          <cell r="A216">
            <v>42614</v>
          </cell>
        </row>
        <row r="217">
          <cell r="A217">
            <v>42644</v>
          </cell>
        </row>
        <row r="218">
          <cell r="A218">
            <v>42675</v>
          </cell>
        </row>
        <row r="219">
          <cell r="A219">
            <v>42705</v>
          </cell>
        </row>
        <row r="220">
          <cell r="A220">
            <v>42736</v>
          </cell>
        </row>
        <row r="221">
          <cell r="A221">
            <v>42767</v>
          </cell>
        </row>
        <row r="222">
          <cell r="A222">
            <v>42795</v>
          </cell>
        </row>
        <row r="223">
          <cell r="A223">
            <v>42826</v>
          </cell>
        </row>
        <row r="224">
          <cell r="A224">
            <v>42856</v>
          </cell>
        </row>
        <row r="225">
          <cell r="A225">
            <v>42887</v>
          </cell>
        </row>
        <row r="226">
          <cell r="A226">
            <v>42917</v>
          </cell>
        </row>
        <row r="227">
          <cell r="A227">
            <v>42948</v>
          </cell>
        </row>
        <row r="228">
          <cell r="A228">
            <v>42979</v>
          </cell>
        </row>
        <row r="229">
          <cell r="A229">
            <v>43009</v>
          </cell>
        </row>
        <row r="230">
          <cell r="A230">
            <v>43040</v>
          </cell>
        </row>
        <row r="231">
          <cell r="A231">
            <v>43070</v>
          </cell>
        </row>
        <row r="232">
          <cell r="A232">
            <v>43101</v>
          </cell>
        </row>
        <row r="233">
          <cell r="A233">
            <v>43132</v>
          </cell>
        </row>
        <row r="234">
          <cell r="A234">
            <v>43160</v>
          </cell>
        </row>
        <row r="235">
          <cell r="A235">
            <v>43191</v>
          </cell>
        </row>
        <row r="236">
          <cell r="A236">
            <v>43221</v>
          </cell>
        </row>
        <row r="237">
          <cell r="A237">
            <v>43252</v>
          </cell>
        </row>
        <row r="238">
          <cell r="A238">
            <v>43282</v>
          </cell>
        </row>
        <row r="239">
          <cell r="A239">
            <v>43313</v>
          </cell>
        </row>
        <row r="240">
          <cell r="A240">
            <v>43344</v>
          </cell>
        </row>
        <row r="241">
          <cell r="A241">
            <v>43374</v>
          </cell>
        </row>
        <row r="242">
          <cell r="A242">
            <v>43405</v>
          </cell>
        </row>
        <row r="243">
          <cell r="A243">
            <v>43435</v>
          </cell>
        </row>
        <row r="244">
          <cell r="A244">
            <v>43466</v>
          </cell>
        </row>
        <row r="245">
          <cell r="A245">
            <v>43497</v>
          </cell>
        </row>
        <row r="246">
          <cell r="A246">
            <v>43525</v>
          </cell>
        </row>
        <row r="247">
          <cell r="A247">
            <v>43556</v>
          </cell>
        </row>
        <row r="248">
          <cell r="A248">
            <v>43586</v>
          </cell>
        </row>
        <row r="249">
          <cell r="A249">
            <v>43617</v>
          </cell>
        </row>
        <row r="250">
          <cell r="A250">
            <v>43647</v>
          </cell>
        </row>
        <row r="251">
          <cell r="A251">
            <v>43678</v>
          </cell>
        </row>
        <row r="252">
          <cell r="A252">
            <v>43709</v>
          </cell>
        </row>
        <row r="253">
          <cell r="A253">
            <v>43739</v>
          </cell>
        </row>
        <row r="254">
          <cell r="A254">
            <v>43770</v>
          </cell>
        </row>
        <row r="255">
          <cell r="A255">
            <v>43800</v>
          </cell>
        </row>
        <row r="256">
          <cell r="A256">
            <v>43831</v>
          </cell>
        </row>
        <row r="257">
          <cell r="A257">
            <v>43862</v>
          </cell>
        </row>
        <row r="258">
          <cell r="A258">
            <v>43891</v>
          </cell>
        </row>
        <row r="259">
          <cell r="A259">
            <v>43922</v>
          </cell>
        </row>
        <row r="260">
          <cell r="A260">
            <v>43952</v>
          </cell>
        </row>
        <row r="261">
          <cell r="A261">
            <v>43983</v>
          </cell>
        </row>
        <row r="262">
          <cell r="A262">
            <v>44013</v>
          </cell>
        </row>
        <row r="263">
          <cell r="A263">
            <v>44044</v>
          </cell>
        </row>
        <row r="264">
          <cell r="A264">
            <v>44075</v>
          </cell>
        </row>
        <row r="265">
          <cell r="A265">
            <v>44105</v>
          </cell>
        </row>
        <row r="266">
          <cell r="A266">
            <v>44136</v>
          </cell>
        </row>
        <row r="267">
          <cell r="A267">
            <v>44166</v>
          </cell>
        </row>
      </sheetData>
      <sheetData sheetId="4"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  <row r="15">
          <cell r="A15">
            <v>36495</v>
          </cell>
        </row>
        <row r="16">
          <cell r="A16">
            <v>36526</v>
          </cell>
        </row>
        <row r="17">
          <cell r="A17">
            <v>36557</v>
          </cell>
        </row>
        <row r="18">
          <cell r="A18">
            <v>36586</v>
          </cell>
        </row>
        <row r="19">
          <cell r="A19">
            <v>36617</v>
          </cell>
        </row>
        <row r="20">
          <cell r="A20">
            <v>36647</v>
          </cell>
        </row>
        <row r="21">
          <cell r="A21">
            <v>36678</v>
          </cell>
        </row>
        <row r="22">
          <cell r="A22">
            <v>36708</v>
          </cell>
        </row>
        <row r="23">
          <cell r="A23">
            <v>36739</v>
          </cell>
        </row>
        <row r="24">
          <cell r="A24">
            <v>36770</v>
          </cell>
        </row>
        <row r="25">
          <cell r="A25">
            <v>36800</v>
          </cell>
        </row>
        <row r="26">
          <cell r="A26">
            <v>36831</v>
          </cell>
        </row>
        <row r="27">
          <cell r="A27">
            <v>36861</v>
          </cell>
        </row>
        <row r="28">
          <cell r="A28">
            <v>36892</v>
          </cell>
        </row>
        <row r="29">
          <cell r="A29">
            <v>36923</v>
          </cell>
          <cell r="B29">
            <v>6.22</v>
          </cell>
          <cell r="C29">
            <v>6.24</v>
          </cell>
          <cell r="F29">
            <v>6.65</v>
          </cell>
          <cell r="G29">
            <v>5.89</v>
          </cell>
          <cell r="H29">
            <v>6.24</v>
          </cell>
          <cell r="I29">
            <v>5.8</v>
          </cell>
          <cell r="J29">
            <v>5.8449999999999998</v>
          </cell>
        </row>
        <row r="30">
          <cell r="A30">
            <v>36951</v>
          </cell>
        </row>
        <row r="31">
          <cell r="A31">
            <v>36982</v>
          </cell>
        </row>
        <row r="32">
          <cell r="A32">
            <v>37012</v>
          </cell>
        </row>
        <row r="33">
          <cell r="A33">
            <v>37043</v>
          </cell>
        </row>
        <row r="34">
          <cell r="A34">
            <v>37073</v>
          </cell>
        </row>
        <row r="35">
          <cell r="A35">
            <v>37104</v>
          </cell>
        </row>
        <row r="36">
          <cell r="A36">
            <v>37135</v>
          </cell>
        </row>
        <row r="37">
          <cell r="A37">
            <v>37165</v>
          </cell>
        </row>
        <row r="38">
          <cell r="A38">
            <v>37196</v>
          </cell>
        </row>
        <row r="39">
          <cell r="A39">
            <v>37226</v>
          </cell>
        </row>
        <row r="40">
          <cell r="A40">
            <v>37257</v>
          </cell>
        </row>
        <row r="41">
          <cell r="A41">
            <v>37288</v>
          </cell>
        </row>
        <row r="42">
          <cell r="A42">
            <v>37316</v>
          </cell>
        </row>
        <row r="43">
          <cell r="A43">
            <v>37347</v>
          </cell>
        </row>
        <row r="44">
          <cell r="A44">
            <v>37377</v>
          </cell>
        </row>
        <row r="45">
          <cell r="A45">
            <v>37408</v>
          </cell>
        </row>
        <row r="46">
          <cell r="A46">
            <v>37438</v>
          </cell>
        </row>
        <row r="47">
          <cell r="A47">
            <v>37469</v>
          </cell>
        </row>
        <row r="48">
          <cell r="A48">
            <v>37500</v>
          </cell>
        </row>
        <row r="49">
          <cell r="A49">
            <v>37530</v>
          </cell>
        </row>
        <row r="50">
          <cell r="A50">
            <v>37561</v>
          </cell>
        </row>
        <row r="51">
          <cell r="A51">
            <v>37591</v>
          </cell>
        </row>
        <row r="52">
          <cell r="A52">
            <v>37622</v>
          </cell>
        </row>
        <row r="53">
          <cell r="A53">
            <v>37653</v>
          </cell>
        </row>
        <row r="54">
          <cell r="A54">
            <v>37681</v>
          </cell>
        </row>
        <row r="55">
          <cell r="A55">
            <v>37712</v>
          </cell>
        </row>
        <row r="56">
          <cell r="A56">
            <v>37742</v>
          </cell>
        </row>
        <row r="57">
          <cell r="A57">
            <v>37773</v>
          </cell>
        </row>
        <row r="58">
          <cell r="A58">
            <v>37803</v>
          </cell>
        </row>
        <row r="59">
          <cell r="A59">
            <v>37834</v>
          </cell>
        </row>
        <row r="60">
          <cell r="A60">
            <v>37865</v>
          </cell>
        </row>
        <row r="61">
          <cell r="A61">
            <v>37895</v>
          </cell>
        </row>
        <row r="62">
          <cell r="A62">
            <v>37926</v>
          </cell>
        </row>
        <row r="63">
          <cell r="A63">
            <v>37956</v>
          </cell>
        </row>
        <row r="64">
          <cell r="A64">
            <v>37987</v>
          </cell>
        </row>
        <row r="65">
          <cell r="A65">
            <v>38018</v>
          </cell>
        </row>
        <row r="66">
          <cell r="A66">
            <v>38047</v>
          </cell>
        </row>
        <row r="67">
          <cell r="A67">
            <v>38078</v>
          </cell>
        </row>
        <row r="68">
          <cell r="A68">
            <v>38108</v>
          </cell>
        </row>
        <row r="69">
          <cell r="A69">
            <v>38139</v>
          </cell>
        </row>
        <row r="70">
          <cell r="A70">
            <v>38169</v>
          </cell>
        </row>
        <row r="71">
          <cell r="A71">
            <v>38200</v>
          </cell>
        </row>
        <row r="72">
          <cell r="A72">
            <v>38231</v>
          </cell>
        </row>
        <row r="73">
          <cell r="A73">
            <v>38261</v>
          </cell>
        </row>
        <row r="74">
          <cell r="A74">
            <v>38292</v>
          </cell>
        </row>
        <row r="75">
          <cell r="A75">
            <v>38322</v>
          </cell>
        </row>
        <row r="76">
          <cell r="A76">
            <v>38353</v>
          </cell>
        </row>
        <row r="77">
          <cell r="A77">
            <v>38384</v>
          </cell>
        </row>
        <row r="78">
          <cell r="A78">
            <v>38412</v>
          </cell>
        </row>
        <row r="79">
          <cell r="A79">
            <v>38443</v>
          </cell>
        </row>
        <row r="80">
          <cell r="A80">
            <v>38473</v>
          </cell>
        </row>
        <row r="81">
          <cell r="A81">
            <v>38504</v>
          </cell>
        </row>
        <row r="82">
          <cell r="A82">
            <v>38534</v>
          </cell>
        </row>
        <row r="83">
          <cell r="A83">
            <v>38565</v>
          </cell>
        </row>
        <row r="84">
          <cell r="A84">
            <v>38596</v>
          </cell>
        </row>
        <row r="85">
          <cell r="A85">
            <v>38626</v>
          </cell>
        </row>
        <row r="86">
          <cell r="A86">
            <v>38657</v>
          </cell>
        </row>
        <row r="87">
          <cell r="A87">
            <v>38687</v>
          </cell>
        </row>
        <row r="88">
          <cell r="A88">
            <v>38718</v>
          </cell>
        </row>
        <row r="89">
          <cell r="A89">
            <v>38749</v>
          </cell>
        </row>
        <row r="90">
          <cell r="A90">
            <v>38777</v>
          </cell>
        </row>
        <row r="91">
          <cell r="A91">
            <v>38808</v>
          </cell>
        </row>
        <row r="92">
          <cell r="A92">
            <v>38838</v>
          </cell>
        </row>
        <row r="93">
          <cell r="A93">
            <v>38869</v>
          </cell>
        </row>
        <row r="94">
          <cell r="A94">
            <v>38899</v>
          </cell>
        </row>
        <row r="95">
          <cell r="A95">
            <v>38930</v>
          </cell>
        </row>
        <row r="96">
          <cell r="A96">
            <v>38961</v>
          </cell>
        </row>
        <row r="97">
          <cell r="A97">
            <v>38991</v>
          </cell>
        </row>
        <row r="98">
          <cell r="A98">
            <v>39022</v>
          </cell>
        </row>
        <row r="99">
          <cell r="A99">
            <v>39052</v>
          </cell>
        </row>
        <row r="100">
          <cell r="A100">
            <v>39083</v>
          </cell>
        </row>
        <row r="101">
          <cell r="A101">
            <v>39114</v>
          </cell>
        </row>
        <row r="102">
          <cell r="A102">
            <v>39142</v>
          </cell>
        </row>
        <row r="103">
          <cell r="A103">
            <v>39173</v>
          </cell>
        </row>
        <row r="104">
          <cell r="A104">
            <v>39203</v>
          </cell>
        </row>
        <row r="105">
          <cell r="A105">
            <v>39234</v>
          </cell>
        </row>
        <row r="106">
          <cell r="A106">
            <v>39264</v>
          </cell>
        </row>
        <row r="107">
          <cell r="A107">
            <v>39295</v>
          </cell>
        </row>
        <row r="108">
          <cell r="A108">
            <v>39326</v>
          </cell>
        </row>
        <row r="109">
          <cell r="A109">
            <v>39356</v>
          </cell>
        </row>
        <row r="110">
          <cell r="A110">
            <v>39387</v>
          </cell>
        </row>
        <row r="111">
          <cell r="A111">
            <v>39417</v>
          </cell>
        </row>
        <row r="112">
          <cell r="A112">
            <v>39448</v>
          </cell>
        </row>
        <row r="113">
          <cell r="A113">
            <v>39479</v>
          </cell>
        </row>
        <row r="114">
          <cell r="A114">
            <v>39508</v>
          </cell>
        </row>
        <row r="115">
          <cell r="A115">
            <v>39539</v>
          </cell>
        </row>
        <row r="116">
          <cell r="A116">
            <v>39569</v>
          </cell>
        </row>
        <row r="117">
          <cell r="A117">
            <v>39600</v>
          </cell>
        </row>
        <row r="118">
          <cell r="A118">
            <v>39630</v>
          </cell>
        </row>
        <row r="119">
          <cell r="A119">
            <v>39661</v>
          </cell>
        </row>
        <row r="120">
          <cell r="A120">
            <v>39692</v>
          </cell>
        </row>
        <row r="121">
          <cell r="A121">
            <v>39722</v>
          </cell>
        </row>
        <row r="122">
          <cell r="A122">
            <v>39753</v>
          </cell>
        </row>
        <row r="123">
          <cell r="A123">
            <v>39783</v>
          </cell>
        </row>
        <row r="124">
          <cell r="A124">
            <v>39814</v>
          </cell>
        </row>
        <row r="125">
          <cell r="A125">
            <v>39845</v>
          </cell>
        </row>
        <row r="126">
          <cell r="A126">
            <v>39873</v>
          </cell>
        </row>
        <row r="127">
          <cell r="A127">
            <v>39904</v>
          </cell>
        </row>
        <row r="128">
          <cell r="A128">
            <v>39934</v>
          </cell>
        </row>
        <row r="129">
          <cell r="A129">
            <v>39965</v>
          </cell>
        </row>
        <row r="130">
          <cell r="A130">
            <v>39995</v>
          </cell>
        </row>
        <row r="131">
          <cell r="A131">
            <v>40026</v>
          </cell>
        </row>
        <row r="132">
          <cell r="A132">
            <v>40057</v>
          </cell>
        </row>
        <row r="133">
          <cell r="A133">
            <v>40087</v>
          </cell>
        </row>
        <row r="134">
          <cell r="A134">
            <v>40118</v>
          </cell>
        </row>
        <row r="135">
          <cell r="A135">
            <v>40148</v>
          </cell>
        </row>
        <row r="136">
          <cell r="A136">
            <v>40179</v>
          </cell>
        </row>
        <row r="137">
          <cell r="A137">
            <v>40210</v>
          </cell>
        </row>
        <row r="138">
          <cell r="A138">
            <v>40238</v>
          </cell>
        </row>
        <row r="139">
          <cell r="A139">
            <v>40269</v>
          </cell>
        </row>
        <row r="140">
          <cell r="A140">
            <v>40299</v>
          </cell>
        </row>
        <row r="141">
          <cell r="A141">
            <v>40330</v>
          </cell>
        </row>
        <row r="142">
          <cell r="A142">
            <v>40360</v>
          </cell>
        </row>
        <row r="143">
          <cell r="A143">
            <v>40391</v>
          </cell>
        </row>
        <row r="144">
          <cell r="A144">
            <v>40422</v>
          </cell>
        </row>
        <row r="145">
          <cell r="A145">
            <v>40452</v>
          </cell>
        </row>
        <row r="146">
          <cell r="A146">
            <v>40483</v>
          </cell>
        </row>
        <row r="147">
          <cell r="A147">
            <v>40513</v>
          </cell>
        </row>
        <row r="148">
          <cell r="A148">
            <v>40544</v>
          </cell>
        </row>
        <row r="149">
          <cell r="A149">
            <v>40575</v>
          </cell>
        </row>
        <row r="150">
          <cell r="A150">
            <v>40603</v>
          </cell>
        </row>
        <row r="151">
          <cell r="A151">
            <v>40634</v>
          </cell>
        </row>
        <row r="152">
          <cell r="A152">
            <v>40664</v>
          </cell>
        </row>
        <row r="153">
          <cell r="A153">
            <v>40695</v>
          </cell>
        </row>
        <row r="154">
          <cell r="A154">
            <v>40725</v>
          </cell>
        </row>
        <row r="155">
          <cell r="A155">
            <v>40756</v>
          </cell>
        </row>
        <row r="156">
          <cell r="A156">
            <v>40787</v>
          </cell>
        </row>
        <row r="157">
          <cell r="A157">
            <v>40817</v>
          </cell>
        </row>
        <row r="158">
          <cell r="A158">
            <v>40848</v>
          </cell>
        </row>
        <row r="159">
          <cell r="A159">
            <v>40878</v>
          </cell>
        </row>
        <row r="160">
          <cell r="A160">
            <v>40909</v>
          </cell>
        </row>
        <row r="161">
          <cell r="A161">
            <v>40940</v>
          </cell>
        </row>
        <row r="162">
          <cell r="A162">
            <v>40969</v>
          </cell>
        </row>
        <row r="163">
          <cell r="A163">
            <v>41000</v>
          </cell>
        </row>
        <row r="164">
          <cell r="A164">
            <v>41030</v>
          </cell>
        </row>
        <row r="165">
          <cell r="A165">
            <v>41061</v>
          </cell>
        </row>
        <row r="166">
          <cell r="A166">
            <v>41091</v>
          </cell>
        </row>
        <row r="167">
          <cell r="A167">
            <v>41122</v>
          </cell>
        </row>
        <row r="168">
          <cell r="A168">
            <v>41153</v>
          </cell>
        </row>
        <row r="169">
          <cell r="A169">
            <v>41183</v>
          </cell>
        </row>
        <row r="170">
          <cell r="A170">
            <v>41214</v>
          </cell>
        </row>
        <row r="171">
          <cell r="A171">
            <v>41244</v>
          </cell>
        </row>
        <row r="172">
          <cell r="A172">
            <v>41275</v>
          </cell>
        </row>
        <row r="173">
          <cell r="A173">
            <v>41306</v>
          </cell>
        </row>
        <row r="174">
          <cell r="A174">
            <v>41334</v>
          </cell>
        </row>
        <row r="175">
          <cell r="A175">
            <v>41365</v>
          </cell>
        </row>
        <row r="176">
          <cell r="A176">
            <v>41395</v>
          </cell>
        </row>
        <row r="177">
          <cell r="A177">
            <v>41426</v>
          </cell>
        </row>
        <row r="178">
          <cell r="A178">
            <v>41456</v>
          </cell>
        </row>
        <row r="179">
          <cell r="A179">
            <v>41487</v>
          </cell>
        </row>
        <row r="180">
          <cell r="A180">
            <v>41518</v>
          </cell>
        </row>
        <row r="181">
          <cell r="A181">
            <v>41548</v>
          </cell>
        </row>
        <row r="182">
          <cell r="A182">
            <v>41579</v>
          </cell>
        </row>
        <row r="183">
          <cell r="A183">
            <v>41609</v>
          </cell>
        </row>
        <row r="184">
          <cell r="A184">
            <v>41640</v>
          </cell>
        </row>
        <row r="185">
          <cell r="A185">
            <v>41671</v>
          </cell>
        </row>
        <row r="186">
          <cell r="A186">
            <v>41699</v>
          </cell>
        </row>
        <row r="187">
          <cell r="A187">
            <v>41730</v>
          </cell>
        </row>
        <row r="188">
          <cell r="A188">
            <v>41760</v>
          </cell>
        </row>
        <row r="189">
          <cell r="A189">
            <v>41791</v>
          </cell>
        </row>
        <row r="190">
          <cell r="A190">
            <v>41821</v>
          </cell>
        </row>
        <row r="191">
          <cell r="A191">
            <v>41852</v>
          </cell>
        </row>
        <row r="192">
          <cell r="A192">
            <v>41883</v>
          </cell>
        </row>
        <row r="193">
          <cell r="A193">
            <v>41913</v>
          </cell>
        </row>
        <row r="194">
          <cell r="A194">
            <v>41944</v>
          </cell>
        </row>
        <row r="195">
          <cell r="A195">
            <v>41974</v>
          </cell>
        </row>
        <row r="196">
          <cell r="A196">
            <v>42005</v>
          </cell>
        </row>
        <row r="197">
          <cell r="A197">
            <v>42036</v>
          </cell>
        </row>
        <row r="198">
          <cell r="A198">
            <v>42064</v>
          </cell>
        </row>
        <row r="199">
          <cell r="A199">
            <v>42095</v>
          </cell>
        </row>
        <row r="200">
          <cell r="A200">
            <v>42125</v>
          </cell>
        </row>
        <row r="201">
          <cell r="A201">
            <v>42156</v>
          </cell>
        </row>
        <row r="202">
          <cell r="A202">
            <v>42186</v>
          </cell>
        </row>
        <row r="203">
          <cell r="A203">
            <v>42217</v>
          </cell>
        </row>
        <row r="204">
          <cell r="A204">
            <v>42248</v>
          </cell>
        </row>
        <row r="205">
          <cell r="A205">
            <v>42278</v>
          </cell>
        </row>
        <row r="206">
          <cell r="A206">
            <v>42309</v>
          </cell>
        </row>
        <row r="207">
          <cell r="A207">
            <v>42339</v>
          </cell>
        </row>
        <row r="208">
          <cell r="A208">
            <v>42370</v>
          </cell>
        </row>
        <row r="209">
          <cell r="A209">
            <v>42401</v>
          </cell>
        </row>
        <row r="210">
          <cell r="A210">
            <v>42430</v>
          </cell>
        </row>
        <row r="211">
          <cell r="A211">
            <v>42461</v>
          </cell>
        </row>
        <row r="212">
          <cell r="A212">
            <v>42491</v>
          </cell>
        </row>
        <row r="213">
          <cell r="A213">
            <v>42522</v>
          </cell>
        </row>
        <row r="214">
          <cell r="A214">
            <v>42552</v>
          </cell>
        </row>
        <row r="215">
          <cell r="A215">
            <v>42583</v>
          </cell>
        </row>
        <row r="216">
          <cell r="A216">
            <v>42614</v>
          </cell>
        </row>
        <row r="217">
          <cell r="A217">
            <v>42644</v>
          </cell>
        </row>
        <row r="218">
          <cell r="A218">
            <v>42675</v>
          </cell>
        </row>
        <row r="219">
          <cell r="A219">
            <v>42705</v>
          </cell>
        </row>
        <row r="220">
          <cell r="A220">
            <v>42736</v>
          </cell>
        </row>
        <row r="221">
          <cell r="A221">
            <v>42767</v>
          </cell>
        </row>
        <row r="222">
          <cell r="A222">
            <v>42795</v>
          </cell>
        </row>
        <row r="223">
          <cell r="A223">
            <v>42826</v>
          </cell>
        </row>
        <row r="224">
          <cell r="A224">
            <v>42856</v>
          </cell>
        </row>
        <row r="225">
          <cell r="A225">
            <v>42887</v>
          </cell>
        </row>
        <row r="226">
          <cell r="A226">
            <v>42917</v>
          </cell>
        </row>
        <row r="227">
          <cell r="A227">
            <v>42948</v>
          </cell>
        </row>
        <row r="228">
          <cell r="A228">
            <v>42979</v>
          </cell>
        </row>
        <row r="229">
          <cell r="A229">
            <v>43009</v>
          </cell>
        </row>
        <row r="230">
          <cell r="A230">
            <v>43040</v>
          </cell>
        </row>
        <row r="231">
          <cell r="A231">
            <v>43070</v>
          </cell>
        </row>
        <row r="232">
          <cell r="A232">
            <v>43101</v>
          </cell>
        </row>
        <row r="233">
          <cell r="A233">
            <v>43132</v>
          </cell>
        </row>
        <row r="234">
          <cell r="A234">
            <v>43160</v>
          </cell>
        </row>
        <row r="235">
          <cell r="A235">
            <v>43191</v>
          </cell>
        </row>
        <row r="236">
          <cell r="A236">
            <v>43221</v>
          </cell>
        </row>
        <row r="237">
          <cell r="A237">
            <v>43252</v>
          </cell>
        </row>
        <row r="238">
          <cell r="A238">
            <v>43282</v>
          </cell>
        </row>
        <row r="239">
          <cell r="A239">
            <v>43313</v>
          </cell>
        </row>
        <row r="240">
          <cell r="A240">
            <v>43344</v>
          </cell>
        </row>
        <row r="241">
          <cell r="A241">
            <v>43374</v>
          </cell>
        </row>
        <row r="242">
          <cell r="A242">
            <v>43405</v>
          </cell>
        </row>
        <row r="243">
          <cell r="A243">
            <v>43435</v>
          </cell>
        </row>
        <row r="244">
          <cell r="A244">
            <v>43466</v>
          </cell>
        </row>
        <row r="245">
          <cell r="A245">
            <v>43497</v>
          </cell>
        </row>
        <row r="246">
          <cell r="A246">
            <v>43525</v>
          </cell>
        </row>
        <row r="247">
          <cell r="A247">
            <v>43556</v>
          </cell>
        </row>
        <row r="248">
          <cell r="A248">
            <v>43586</v>
          </cell>
        </row>
        <row r="249">
          <cell r="A249">
            <v>43617</v>
          </cell>
        </row>
        <row r="250">
          <cell r="A250">
            <v>43647</v>
          </cell>
        </row>
        <row r="251">
          <cell r="A251">
            <v>43678</v>
          </cell>
        </row>
        <row r="252">
          <cell r="A252">
            <v>43709</v>
          </cell>
        </row>
        <row r="253">
          <cell r="A253">
            <v>43739</v>
          </cell>
        </row>
        <row r="254">
          <cell r="A254">
            <v>43770</v>
          </cell>
        </row>
        <row r="255">
          <cell r="A255">
            <v>43800</v>
          </cell>
        </row>
        <row r="256">
          <cell r="A256">
            <v>43831</v>
          </cell>
        </row>
        <row r="257">
          <cell r="A257">
            <v>43862</v>
          </cell>
        </row>
        <row r="258">
          <cell r="A258">
            <v>43891</v>
          </cell>
        </row>
        <row r="259">
          <cell r="A259">
            <v>43922</v>
          </cell>
        </row>
        <row r="260">
          <cell r="A260">
            <v>43952</v>
          </cell>
        </row>
        <row r="261">
          <cell r="A261">
            <v>43983</v>
          </cell>
        </row>
        <row r="262">
          <cell r="A262">
            <v>44013</v>
          </cell>
        </row>
        <row r="263">
          <cell r="A263">
            <v>44044</v>
          </cell>
        </row>
        <row r="264">
          <cell r="A264">
            <v>44075</v>
          </cell>
        </row>
        <row r="265">
          <cell r="A265">
            <v>44105</v>
          </cell>
        </row>
        <row r="266">
          <cell r="A266">
            <v>44136</v>
          </cell>
        </row>
        <row r="267">
          <cell r="A267">
            <v>44166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9"/>
      <sheetName val="2000"/>
      <sheetName val="Prices"/>
      <sheetName val="FWD Prices"/>
    </sheetNames>
    <sheetDataSet>
      <sheetData sheetId="0"/>
      <sheetData sheetId="1"/>
      <sheetData sheetId="2">
        <row r="2">
          <cell r="A2" t="str">
            <v xml:space="preserve"> </v>
          </cell>
          <cell r="B2" t="str">
            <v>HH</v>
          </cell>
          <cell r="C2" t="str">
            <v>HSC</v>
          </cell>
          <cell r="D2" t="str">
            <v>NX1</v>
          </cell>
          <cell r="E2" t="str">
            <v>NX3</v>
          </cell>
          <cell r="F2" t="str">
            <v>Permian</v>
          </cell>
          <cell r="G2" t="str">
            <v>PG&amp;E</v>
          </cell>
          <cell r="H2" t="str">
            <v>San Juan</v>
          </cell>
          <cell r="I2" t="str">
            <v>Tetco</v>
          </cell>
          <cell r="J2" t="str">
            <v>Tetco-PG&amp;E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  <row r="15">
          <cell r="A15">
            <v>36495</v>
          </cell>
        </row>
        <row r="16">
          <cell r="A16">
            <v>36526</v>
          </cell>
        </row>
        <row r="17">
          <cell r="A17">
            <v>36557</v>
          </cell>
        </row>
        <row r="18">
          <cell r="A18">
            <v>36586</v>
          </cell>
        </row>
        <row r="19">
          <cell r="A19">
            <v>36617</v>
          </cell>
        </row>
        <row r="20">
          <cell r="A20">
            <v>36647</v>
          </cell>
        </row>
        <row r="21">
          <cell r="A21">
            <v>36678</v>
          </cell>
        </row>
        <row r="22">
          <cell r="A22">
            <v>36708</v>
          </cell>
        </row>
        <row r="23">
          <cell r="A23">
            <v>36739</v>
          </cell>
        </row>
        <row r="24">
          <cell r="A24">
            <v>36770</v>
          </cell>
        </row>
        <row r="25">
          <cell r="A25">
            <v>36800</v>
          </cell>
        </row>
        <row r="26">
          <cell r="A26">
            <v>36831</v>
          </cell>
        </row>
        <row r="27">
          <cell r="A27">
            <v>36861</v>
          </cell>
        </row>
        <row r="28">
          <cell r="A28">
            <v>36892</v>
          </cell>
        </row>
        <row r="29">
          <cell r="A29">
            <v>36923</v>
          </cell>
          <cell r="B29">
            <v>6.22</v>
          </cell>
          <cell r="C29">
            <v>6.24</v>
          </cell>
          <cell r="F29">
            <v>6.65</v>
          </cell>
          <cell r="G29">
            <v>5.89</v>
          </cell>
          <cell r="H29">
            <v>6.24</v>
          </cell>
          <cell r="I29">
            <v>5.8</v>
          </cell>
          <cell r="J29">
            <v>5.8449999999999998</v>
          </cell>
        </row>
        <row r="30">
          <cell r="A30">
            <v>36951</v>
          </cell>
          <cell r="B30">
            <v>5.03</v>
          </cell>
          <cell r="C30">
            <v>5.03</v>
          </cell>
          <cell r="F30">
            <v>5.12</v>
          </cell>
          <cell r="G30">
            <v>4.78</v>
          </cell>
          <cell r="H30">
            <v>4.83</v>
          </cell>
          <cell r="I30">
            <v>4.71</v>
          </cell>
          <cell r="J30">
            <v>4.7450000000000001</v>
          </cell>
        </row>
        <row r="31">
          <cell r="A31">
            <v>36982</v>
          </cell>
        </row>
        <row r="32">
          <cell r="A32">
            <v>37012</v>
          </cell>
        </row>
        <row r="33">
          <cell r="A33">
            <v>37043</v>
          </cell>
        </row>
        <row r="34">
          <cell r="A34">
            <v>37073</v>
          </cell>
        </row>
        <row r="35">
          <cell r="A35">
            <v>37104</v>
          </cell>
        </row>
        <row r="36">
          <cell r="A36">
            <v>37135</v>
          </cell>
        </row>
        <row r="37">
          <cell r="A37">
            <v>37165</v>
          </cell>
        </row>
        <row r="38">
          <cell r="A38">
            <v>37196</v>
          </cell>
        </row>
        <row r="39">
          <cell r="A39">
            <v>37226</v>
          </cell>
        </row>
        <row r="40">
          <cell r="A40">
            <v>37257</v>
          </cell>
        </row>
        <row r="41">
          <cell r="A41">
            <v>37288</v>
          </cell>
        </row>
        <row r="42">
          <cell r="A42">
            <v>37316</v>
          </cell>
        </row>
        <row r="43">
          <cell r="A43">
            <v>37347</v>
          </cell>
        </row>
        <row r="44">
          <cell r="A44">
            <v>37377</v>
          </cell>
        </row>
        <row r="45">
          <cell r="A45">
            <v>37408</v>
          </cell>
        </row>
        <row r="46">
          <cell r="A46">
            <v>37438</v>
          </cell>
        </row>
        <row r="47">
          <cell r="A47">
            <v>37469</v>
          </cell>
        </row>
        <row r="48">
          <cell r="A48">
            <v>37500</v>
          </cell>
        </row>
        <row r="49">
          <cell r="A49">
            <v>37530</v>
          </cell>
        </row>
        <row r="50">
          <cell r="A50">
            <v>37561</v>
          </cell>
        </row>
        <row r="51">
          <cell r="A51">
            <v>37591</v>
          </cell>
        </row>
        <row r="52">
          <cell r="A52">
            <v>37622</v>
          </cell>
        </row>
        <row r="53">
          <cell r="A53">
            <v>37653</v>
          </cell>
        </row>
        <row r="54">
          <cell r="A54">
            <v>37681</v>
          </cell>
        </row>
        <row r="55">
          <cell r="A55">
            <v>37712</v>
          </cell>
        </row>
        <row r="56">
          <cell r="A56">
            <v>37742</v>
          </cell>
        </row>
        <row r="57">
          <cell r="A57">
            <v>37773</v>
          </cell>
        </row>
        <row r="58">
          <cell r="A58">
            <v>37803</v>
          </cell>
        </row>
        <row r="59">
          <cell r="A59">
            <v>37834</v>
          </cell>
        </row>
        <row r="60">
          <cell r="A60">
            <v>37865</v>
          </cell>
        </row>
        <row r="61">
          <cell r="A61">
            <v>37895</v>
          </cell>
        </row>
        <row r="62">
          <cell r="A62">
            <v>37926</v>
          </cell>
        </row>
        <row r="63">
          <cell r="A63">
            <v>37956</v>
          </cell>
        </row>
        <row r="64">
          <cell r="A64">
            <v>37987</v>
          </cell>
        </row>
        <row r="65">
          <cell r="A65">
            <v>38018</v>
          </cell>
        </row>
        <row r="66">
          <cell r="A66">
            <v>38047</v>
          </cell>
        </row>
        <row r="67">
          <cell r="A67">
            <v>38078</v>
          </cell>
        </row>
        <row r="68">
          <cell r="A68">
            <v>38108</v>
          </cell>
        </row>
        <row r="69">
          <cell r="A69">
            <v>38139</v>
          </cell>
        </row>
        <row r="70">
          <cell r="A70">
            <v>38169</v>
          </cell>
        </row>
        <row r="71">
          <cell r="A71">
            <v>38200</v>
          </cell>
        </row>
        <row r="72">
          <cell r="A72">
            <v>38231</v>
          </cell>
        </row>
        <row r="73">
          <cell r="A73">
            <v>38261</v>
          </cell>
        </row>
        <row r="74">
          <cell r="A74">
            <v>38292</v>
          </cell>
        </row>
        <row r="75">
          <cell r="A75">
            <v>38322</v>
          </cell>
        </row>
        <row r="76">
          <cell r="A76">
            <v>38353</v>
          </cell>
        </row>
        <row r="77">
          <cell r="A77">
            <v>38384</v>
          </cell>
        </row>
        <row r="78">
          <cell r="A78">
            <v>38412</v>
          </cell>
        </row>
        <row r="79">
          <cell r="A79">
            <v>38443</v>
          </cell>
        </row>
        <row r="80">
          <cell r="A80">
            <v>38473</v>
          </cell>
        </row>
        <row r="81">
          <cell r="A81">
            <v>38504</v>
          </cell>
        </row>
        <row r="82">
          <cell r="A82">
            <v>38534</v>
          </cell>
        </row>
        <row r="83">
          <cell r="A83">
            <v>38565</v>
          </cell>
        </row>
        <row r="84">
          <cell r="A84">
            <v>38596</v>
          </cell>
        </row>
        <row r="85">
          <cell r="A85">
            <v>38626</v>
          </cell>
        </row>
        <row r="86">
          <cell r="A86">
            <v>38657</v>
          </cell>
        </row>
        <row r="87">
          <cell r="A87">
            <v>38687</v>
          </cell>
        </row>
        <row r="88">
          <cell r="A88">
            <v>38718</v>
          </cell>
        </row>
        <row r="89">
          <cell r="A89">
            <v>38749</v>
          </cell>
        </row>
        <row r="90">
          <cell r="A90">
            <v>38777</v>
          </cell>
        </row>
        <row r="91">
          <cell r="A91">
            <v>38808</v>
          </cell>
        </row>
        <row r="92">
          <cell r="A92">
            <v>38838</v>
          </cell>
        </row>
        <row r="93">
          <cell r="A93">
            <v>38869</v>
          </cell>
        </row>
        <row r="94">
          <cell r="A94">
            <v>38899</v>
          </cell>
        </row>
        <row r="95">
          <cell r="A95">
            <v>38930</v>
          </cell>
        </row>
        <row r="96">
          <cell r="A96">
            <v>38961</v>
          </cell>
        </row>
        <row r="97">
          <cell r="A97">
            <v>38991</v>
          </cell>
        </row>
        <row r="98">
          <cell r="A98">
            <v>39022</v>
          </cell>
        </row>
        <row r="99">
          <cell r="A99">
            <v>39052</v>
          </cell>
        </row>
        <row r="100">
          <cell r="A100">
            <v>39083</v>
          </cell>
        </row>
        <row r="101">
          <cell r="A101">
            <v>39114</v>
          </cell>
        </row>
        <row r="102">
          <cell r="A102">
            <v>39142</v>
          </cell>
        </row>
        <row r="103">
          <cell r="A103">
            <v>39173</v>
          </cell>
        </row>
        <row r="104">
          <cell r="A104">
            <v>39203</v>
          </cell>
        </row>
        <row r="105">
          <cell r="A105">
            <v>39234</v>
          </cell>
        </row>
        <row r="106">
          <cell r="A106">
            <v>39264</v>
          </cell>
        </row>
        <row r="107">
          <cell r="A107">
            <v>39295</v>
          </cell>
        </row>
        <row r="108">
          <cell r="A108">
            <v>39326</v>
          </cell>
        </row>
        <row r="109">
          <cell r="A109">
            <v>39356</v>
          </cell>
        </row>
        <row r="110">
          <cell r="A110">
            <v>39387</v>
          </cell>
        </row>
        <row r="111">
          <cell r="A111">
            <v>39417</v>
          </cell>
        </row>
        <row r="112">
          <cell r="A112">
            <v>39448</v>
          </cell>
        </row>
        <row r="113">
          <cell r="A113">
            <v>39479</v>
          </cell>
        </row>
        <row r="114">
          <cell r="A114">
            <v>39508</v>
          </cell>
        </row>
        <row r="115">
          <cell r="A115">
            <v>39539</v>
          </cell>
        </row>
        <row r="116">
          <cell r="A116">
            <v>39569</v>
          </cell>
        </row>
        <row r="117">
          <cell r="A117">
            <v>39600</v>
          </cell>
        </row>
        <row r="118">
          <cell r="A118">
            <v>39630</v>
          </cell>
        </row>
        <row r="119">
          <cell r="A119">
            <v>39661</v>
          </cell>
        </row>
        <row r="120">
          <cell r="A120">
            <v>39692</v>
          </cell>
        </row>
        <row r="121">
          <cell r="A121">
            <v>39722</v>
          </cell>
        </row>
        <row r="122">
          <cell r="A122">
            <v>39753</v>
          </cell>
        </row>
        <row r="123">
          <cell r="A123">
            <v>39783</v>
          </cell>
        </row>
        <row r="124">
          <cell r="A124">
            <v>39814</v>
          </cell>
        </row>
        <row r="125">
          <cell r="A125">
            <v>39845</v>
          </cell>
        </row>
        <row r="126">
          <cell r="A126">
            <v>39873</v>
          </cell>
        </row>
        <row r="127">
          <cell r="A127">
            <v>39904</v>
          </cell>
        </row>
        <row r="128">
          <cell r="A128">
            <v>39934</v>
          </cell>
        </row>
        <row r="129">
          <cell r="A129">
            <v>39965</v>
          </cell>
        </row>
        <row r="130">
          <cell r="A130">
            <v>39995</v>
          </cell>
        </row>
        <row r="131">
          <cell r="A131">
            <v>40026</v>
          </cell>
        </row>
        <row r="132">
          <cell r="A132">
            <v>40057</v>
          </cell>
        </row>
        <row r="133">
          <cell r="A133">
            <v>40087</v>
          </cell>
        </row>
        <row r="134">
          <cell r="A134">
            <v>40118</v>
          </cell>
        </row>
        <row r="135">
          <cell r="A135">
            <v>40148</v>
          </cell>
        </row>
        <row r="136">
          <cell r="A136">
            <v>40179</v>
          </cell>
        </row>
        <row r="137">
          <cell r="A137">
            <v>40210</v>
          </cell>
        </row>
        <row r="138">
          <cell r="A138">
            <v>40238</v>
          </cell>
        </row>
        <row r="139">
          <cell r="A139">
            <v>40269</v>
          </cell>
        </row>
        <row r="140">
          <cell r="A140">
            <v>40299</v>
          </cell>
        </row>
        <row r="141">
          <cell r="A141">
            <v>40330</v>
          </cell>
        </row>
        <row r="142">
          <cell r="A142">
            <v>40360</v>
          </cell>
        </row>
        <row r="143">
          <cell r="A143">
            <v>40391</v>
          </cell>
        </row>
        <row r="144">
          <cell r="A144">
            <v>40422</v>
          </cell>
        </row>
        <row r="145">
          <cell r="A145">
            <v>40452</v>
          </cell>
        </row>
        <row r="146">
          <cell r="A146">
            <v>40483</v>
          </cell>
        </row>
        <row r="147">
          <cell r="A147">
            <v>40513</v>
          </cell>
        </row>
        <row r="148">
          <cell r="A148">
            <v>40544</v>
          </cell>
        </row>
        <row r="149">
          <cell r="A149">
            <v>40575</v>
          </cell>
        </row>
        <row r="150">
          <cell r="A150">
            <v>40603</v>
          </cell>
        </row>
        <row r="151">
          <cell r="A151">
            <v>40634</v>
          </cell>
        </row>
        <row r="152">
          <cell r="A152">
            <v>40664</v>
          </cell>
        </row>
        <row r="153">
          <cell r="A153">
            <v>40695</v>
          </cell>
        </row>
        <row r="154">
          <cell r="A154">
            <v>40725</v>
          </cell>
        </row>
        <row r="155">
          <cell r="A155">
            <v>40756</v>
          </cell>
        </row>
        <row r="156">
          <cell r="A156">
            <v>40787</v>
          </cell>
        </row>
        <row r="157">
          <cell r="A157">
            <v>40817</v>
          </cell>
        </row>
        <row r="158">
          <cell r="A158">
            <v>40848</v>
          </cell>
        </row>
        <row r="159">
          <cell r="A159">
            <v>40878</v>
          </cell>
        </row>
        <row r="160">
          <cell r="A160">
            <v>40909</v>
          </cell>
        </row>
        <row r="161">
          <cell r="A161">
            <v>40940</v>
          </cell>
        </row>
        <row r="162">
          <cell r="A162">
            <v>40969</v>
          </cell>
        </row>
        <row r="163">
          <cell r="A163">
            <v>41000</v>
          </cell>
        </row>
        <row r="164">
          <cell r="A164">
            <v>41030</v>
          </cell>
        </row>
        <row r="165">
          <cell r="A165">
            <v>41061</v>
          </cell>
        </row>
        <row r="166">
          <cell r="A166">
            <v>41091</v>
          </cell>
        </row>
        <row r="167">
          <cell r="A167">
            <v>41122</v>
          </cell>
        </row>
        <row r="168">
          <cell r="A168">
            <v>41153</v>
          </cell>
        </row>
        <row r="169">
          <cell r="A169">
            <v>41183</v>
          </cell>
        </row>
        <row r="170">
          <cell r="A170">
            <v>41214</v>
          </cell>
        </row>
        <row r="171">
          <cell r="A171">
            <v>41244</v>
          </cell>
        </row>
        <row r="172">
          <cell r="A172">
            <v>41275</v>
          </cell>
        </row>
        <row r="173">
          <cell r="A173">
            <v>41306</v>
          </cell>
        </row>
        <row r="174">
          <cell r="A174">
            <v>41334</v>
          </cell>
        </row>
        <row r="175">
          <cell r="A175">
            <v>41365</v>
          </cell>
        </row>
        <row r="176">
          <cell r="A176">
            <v>41395</v>
          </cell>
        </row>
        <row r="177">
          <cell r="A177">
            <v>41426</v>
          </cell>
        </row>
        <row r="178">
          <cell r="A178">
            <v>41456</v>
          </cell>
        </row>
        <row r="179">
          <cell r="A179">
            <v>41487</v>
          </cell>
        </row>
        <row r="180">
          <cell r="A180">
            <v>41518</v>
          </cell>
        </row>
        <row r="181">
          <cell r="A181">
            <v>41548</v>
          </cell>
        </row>
        <row r="182">
          <cell r="A182">
            <v>41579</v>
          </cell>
        </row>
        <row r="183">
          <cell r="A183">
            <v>41609</v>
          </cell>
        </row>
        <row r="184">
          <cell r="A184">
            <v>41640</v>
          </cell>
        </row>
        <row r="185">
          <cell r="A185">
            <v>41671</v>
          </cell>
        </row>
        <row r="186">
          <cell r="A186">
            <v>41699</v>
          </cell>
        </row>
        <row r="187">
          <cell r="A187">
            <v>41730</v>
          </cell>
        </row>
        <row r="188">
          <cell r="A188">
            <v>41760</v>
          </cell>
        </row>
        <row r="189">
          <cell r="A189">
            <v>41791</v>
          </cell>
        </row>
        <row r="190">
          <cell r="A190">
            <v>41821</v>
          </cell>
        </row>
        <row r="191">
          <cell r="A191">
            <v>41852</v>
          </cell>
        </row>
        <row r="192">
          <cell r="A192">
            <v>41883</v>
          </cell>
        </row>
        <row r="193">
          <cell r="A193">
            <v>41913</v>
          </cell>
        </row>
        <row r="194">
          <cell r="A194">
            <v>41944</v>
          </cell>
        </row>
        <row r="195">
          <cell r="A195">
            <v>41974</v>
          </cell>
        </row>
        <row r="196">
          <cell r="A196">
            <v>42005</v>
          </cell>
        </row>
        <row r="197">
          <cell r="A197">
            <v>42036</v>
          </cell>
        </row>
        <row r="198">
          <cell r="A198">
            <v>42064</v>
          </cell>
        </row>
        <row r="199">
          <cell r="A199">
            <v>42095</v>
          </cell>
        </row>
        <row r="200">
          <cell r="A200">
            <v>42125</v>
          </cell>
        </row>
        <row r="201">
          <cell r="A201">
            <v>42156</v>
          </cell>
        </row>
        <row r="202">
          <cell r="A202">
            <v>42186</v>
          </cell>
        </row>
        <row r="203">
          <cell r="A203">
            <v>42217</v>
          </cell>
        </row>
        <row r="204">
          <cell r="A204">
            <v>42248</v>
          </cell>
        </row>
        <row r="205">
          <cell r="A205">
            <v>42278</v>
          </cell>
        </row>
        <row r="206">
          <cell r="A206">
            <v>42309</v>
          </cell>
        </row>
        <row r="207">
          <cell r="A207">
            <v>42339</v>
          </cell>
        </row>
        <row r="208">
          <cell r="A208">
            <v>42370</v>
          </cell>
        </row>
        <row r="209">
          <cell r="A209">
            <v>42401</v>
          </cell>
        </row>
        <row r="210">
          <cell r="A210">
            <v>42430</v>
          </cell>
        </row>
        <row r="211">
          <cell r="A211">
            <v>42461</v>
          </cell>
        </row>
        <row r="212">
          <cell r="A212">
            <v>42491</v>
          </cell>
        </row>
        <row r="213">
          <cell r="A213">
            <v>42522</v>
          </cell>
        </row>
        <row r="214">
          <cell r="A214">
            <v>42552</v>
          </cell>
        </row>
        <row r="215">
          <cell r="A215">
            <v>42583</v>
          </cell>
        </row>
        <row r="216">
          <cell r="A216">
            <v>42614</v>
          </cell>
        </row>
        <row r="217">
          <cell r="A217">
            <v>42644</v>
          </cell>
        </row>
        <row r="218">
          <cell r="A218">
            <v>42675</v>
          </cell>
        </row>
        <row r="219">
          <cell r="A219">
            <v>42705</v>
          </cell>
        </row>
        <row r="220">
          <cell r="A220">
            <v>42736</v>
          </cell>
        </row>
        <row r="221">
          <cell r="A221">
            <v>42767</v>
          </cell>
        </row>
        <row r="222">
          <cell r="A222">
            <v>42795</v>
          </cell>
        </row>
        <row r="223">
          <cell r="A223">
            <v>42826</v>
          </cell>
        </row>
        <row r="224">
          <cell r="A224">
            <v>42856</v>
          </cell>
        </row>
        <row r="225">
          <cell r="A225">
            <v>42887</v>
          </cell>
        </row>
        <row r="226">
          <cell r="A226">
            <v>42917</v>
          </cell>
        </row>
        <row r="227">
          <cell r="A227">
            <v>42948</v>
          </cell>
        </row>
        <row r="228">
          <cell r="A228">
            <v>42979</v>
          </cell>
        </row>
        <row r="229">
          <cell r="A229">
            <v>43009</v>
          </cell>
        </row>
        <row r="230">
          <cell r="A230">
            <v>43040</v>
          </cell>
        </row>
        <row r="231">
          <cell r="A231">
            <v>43070</v>
          </cell>
        </row>
        <row r="232">
          <cell r="A232">
            <v>43101</v>
          </cell>
        </row>
        <row r="233">
          <cell r="A233">
            <v>43132</v>
          </cell>
        </row>
        <row r="234">
          <cell r="A234">
            <v>43160</v>
          </cell>
        </row>
        <row r="235">
          <cell r="A235">
            <v>43191</v>
          </cell>
        </row>
        <row r="236">
          <cell r="A236">
            <v>43221</v>
          </cell>
        </row>
        <row r="237">
          <cell r="A237">
            <v>43252</v>
          </cell>
        </row>
        <row r="238">
          <cell r="A238">
            <v>43282</v>
          </cell>
        </row>
        <row r="239">
          <cell r="A239">
            <v>43313</v>
          </cell>
        </row>
        <row r="240">
          <cell r="A240">
            <v>43344</v>
          </cell>
        </row>
        <row r="241">
          <cell r="A241">
            <v>43374</v>
          </cell>
        </row>
        <row r="242">
          <cell r="A242">
            <v>43405</v>
          </cell>
        </row>
        <row r="243">
          <cell r="A243">
            <v>43435</v>
          </cell>
        </row>
        <row r="244">
          <cell r="A244">
            <v>43466</v>
          </cell>
        </row>
        <row r="245">
          <cell r="A245">
            <v>43497</v>
          </cell>
        </row>
        <row r="246">
          <cell r="A246">
            <v>43525</v>
          </cell>
        </row>
        <row r="247">
          <cell r="A247">
            <v>43556</v>
          </cell>
        </row>
        <row r="248">
          <cell r="A248">
            <v>43586</v>
          </cell>
        </row>
        <row r="249">
          <cell r="A249">
            <v>43617</v>
          </cell>
        </row>
        <row r="250">
          <cell r="A250">
            <v>43647</v>
          </cell>
        </row>
        <row r="251">
          <cell r="A251">
            <v>43678</v>
          </cell>
        </row>
        <row r="252">
          <cell r="A252">
            <v>43709</v>
          </cell>
        </row>
        <row r="253">
          <cell r="A253">
            <v>43739</v>
          </cell>
        </row>
        <row r="254">
          <cell r="A254">
            <v>43770</v>
          </cell>
        </row>
        <row r="255">
          <cell r="A255">
            <v>43800</v>
          </cell>
        </row>
        <row r="256">
          <cell r="A256">
            <v>43831</v>
          </cell>
        </row>
        <row r="257">
          <cell r="A257">
            <v>43862</v>
          </cell>
        </row>
        <row r="258">
          <cell r="A258">
            <v>43891</v>
          </cell>
        </row>
        <row r="259">
          <cell r="A259">
            <v>43922</v>
          </cell>
        </row>
        <row r="260">
          <cell r="A260">
            <v>43952</v>
          </cell>
        </row>
        <row r="261">
          <cell r="A261">
            <v>43983</v>
          </cell>
        </row>
        <row r="262">
          <cell r="A262">
            <v>44013</v>
          </cell>
        </row>
        <row r="263">
          <cell r="A263">
            <v>44044</v>
          </cell>
        </row>
        <row r="264">
          <cell r="A264">
            <v>44075</v>
          </cell>
        </row>
        <row r="265">
          <cell r="A265">
            <v>44105</v>
          </cell>
        </row>
        <row r="266">
          <cell r="A266">
            <v>44136</v>
          </cell>
        </row>
        <row r="267">
          <cell r="A267">
            <v>44166</v>
          </cell>
        </row>
      </sheetData>
      <sheetData sheetId="3"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  <row r="15">
          <cell r="A15">
            <v>36495</v>
          </cell>
        </row>
        <row r="16">
          <cell r="A16">
            <v>36526</v>
          </cell>
        </row>
        <row r="17">
          <cell r="A17">
            <v>36557</v>
          </cell>
        </row>
        <row r="18">
          <cell r="A18">
            <v>36586</v>
          </cell>
        </row>
        <row r="19">
          <cell r="A19">
            <v>36617</v>
          </cell>
        </row>
        <row r="20">
          <cell r="A20">
            <v>36647</v>
          </cell>
        </row>
        <row r="21">
          <cell r="A21">
            <v>36678</v>
          </cell>
        </row>
        <row r="22">
          <cell r="A22">
            <v>36708</v>
          </cell>
        </row>
        <row r="23">
          <cell r="A23">
            <v>36739</v>
          </cell>
        </row>
        <row r="24">
          <cell r="A24">
            <v>36770</v>
          </cell>
        </row>
        <row r="25">
          <cell r="A25">
            <v>36800</v>
          </cell>
        </row>
        <row r="26">
          <cell r="A26">
            <v>36831</v>
          </cell>
        </row>
        <row r="27">
          <cell r="A27">
            <v>36861</v>
          </cell>
        </row>
        <row r="28">
          <cell r="A28">
            <v>36892</v>
          </cell>
        </row>
        <row r="29">
          <cell r="A29">
            <v>36923</v>
          </cell>
          <cell r="B29">
            <v>6.22</v>
          </cell>
          <cell r="C29">
            <v>6.24</v>
          </cell>
          <cell r="F29">
            <v>6.65</v>
          </cell>
          <cell r="G29">
            <v>5.89</v>
          </cell>
          <cell r="H29">
            <v>6.24</v>
          </cell>
          <cell r="I29">
            <v>5.8</v>
          </cell>
          <cell r="J29">
            <v>5.8449999999999998</v>
          </cell>
        </row>
        <row r="30">
          <cell r="A30">
            <v>36951</v>
          </cell>
        </row>
        <row r="31">
          <cell r="A31">
            <v>36982</v>
          </cell>
        </row>
        <row r="32">
          <cell r="A32">
            <v>37012</v>
          </cell>
        </row>
        <row r="33">
          <cell r="A33">
            <v>37043</v>
          </cell>
        </row>
        <row r="34">
          <cell r="A34">
            <v>37073</v>
          </cell>
        </row>
        <row r="35">
          <cell r="A35">
            <v>37104</v>
          </cell>
        </row>
        <row r="36">
          <cell r="A36">
            <v>37135</v>
          </cell>
        </row>
        <row r="37">
          <cell r="A37">
            <v>37165</v>
          </cell>
        </row>
        <row r="38">
          <cell r="A38">
            <v>37196</v>
          </cell>
        </row>
        <row r="39">
          <cell r="A39">
            <v>37226</v>
          </cell>
        </row>
        <row r="40">
          <cell r="A40">
            <v>37257</v>
          </cell>
        </row>
        <row r="41">
          <cell r="A41">
            <v>37288</v>
          </cell>
        </row>
        <row r="42">
          <cell r="A42">
            <v>37316</v>
          </cell>
        </row>
        <row r="43">
          <cell r="A43">
            <v>37347</v>
          </cell>
        </row>
        <row r="44">
          <cell r="A44">
            <v>37377</v>
          </cell>
        </row>
        <row r="45">
          <cell r="A45">
            <v>37408</v>
          </cell>
        </row>
        <row r="46">
          <cell r="A46">
            <v>37438</v>
          </cell>
        </row>
        <row r="47">
          <cell r="A47">
            <v>37469</v>
          </cell>
        </row>
        <row r="48">
          <cell r="A48">
            <v>37500</v>
          </cell>
        </row>
        <row r="49">
          <cell r="A49">
            <v>37530</v>
          </cell>
        </row>
        <row r="50">
          <cell r="A50">
            <v>37561</v>
          </cell>
        </row>
        <row r="51">
          <cell r="A51">
            <v>37591</v>
          </cell>
        </row>
        <row r="52">
          <cell r="A52">
            <v>37622</v>
          </cell>
        </row>
        <row r="53">
          <cell r="A53">
            <v>37653</v>
          </cell>
        </row>
        <row r="54">
          <cell r="A54">
            <v>37681</v>
          </cell>
        </row>
        <row r="55">
          <cell r="A55">
            <v>37712</v>
          </cell>
        </row>
        <row r="56">
          <cell r="A56">
            <v>37742</v>
          </cell>
        </row>
        <row r="57">
          <cell r="A57">
            <v>37773</v>
          </cell>
        </row>
        <row r="58">
          <cell r="A58">
            <v>37803</v>
          </cell>
        </row>
        <row r="59">
          <cell r="A59">
            <v>37834</v>
          </cell>
        </row>
        <row r="60">
          <cell r="A60">
            <v>37865</v>
          </cell>
        </row>
        <row r="61">
          <cell r="A61">
            <v>37895</v>
          </cell>
        </row>
        <row r="62">
          <cell r="A62">
            <v>37926</v>
          </cell>
        </row>
        <row r="63">
          <cell r="A63">
            <v>37956</v>
          </cell>
        </row>
        <row r="64">
          <cell r="A64">
            <v>37987</v>
          </cell>
        </row>
        <row r="65">
          <cell r="A65">
            <v>38018</v>
          </cell>
        </row>
        <row r="66">
          <cell r="A66">
            <v>38047</v>
          </cell>
        </row>
        <row r="67">
          <cell r="A67">
            <v>38078</v>
          </cell>
        </row>
        <row r="68">
          <cell r="A68">
            <v>38108</v>
          </cell>
        </row>
        <row r="69">
          <cell r="A69">
            <v>38139</v>
          </cell>
        </row>
        <row r="70">
          <cell r="A70">
            <v>38169</v>
          </cell>
        </row>
        <row r="71">
          <cell r="A71">
            <v>38200</v>
          </cell>
        </row>
        <row r="72">
          <cell r="A72">
            <v>38231</v>
          </cell>
        </row>
        <row r="73">
          <cell r="A73">
            <v>38261</v>
          </cell>
        </row>
        <row r="74">
          <cell r="A74">
            <v>38292</v>
          </cell>
        </row>
        <row r="75">
          <cell r="A75">
            <v>38322</v>
          </cell>
        </row>
        <row r="76">
          <cell r="A76">
            <v>38353</v>
          </cell>
        </row>
        <row r="77">
          <cell r="A77">
            <v>38384</v>
          </cell>
        </row>
        <row r="78">
          <cell r="A78">
            <v>38412</v>
          </cell>
        </row>
        <row r="79">
          <cell r="A79">
            <v>38443</v>
          </cell>
        </row>
        <row r="80">
          <cell r="A80">
            <v>38473</v>
          </cell>
        </row>
        <row r="81">
          <cell r="A81">
            <v>38504</v>
          </cell>
        </row>
        <row r="82">
          <cell r="A82">
            <v>38534</v>
          </cell>
        </row>
        <row r="83">
          <cell r="A83">
            <v>38565</v>
          </cell>
        </row>
        <row r="84">
          <cell r="A84">
            <v>38596</v>
          </cell>
        </row>
        <row r="85">
          <cell r="A85">
            <v>38626</v>
          </cell>
        </row>
        <row r="86">
          <cell r="A86">
            <v>38657</v>
          </cell>
        </row>
        <row r="87">
          <cell r="A87">
            <v>38687</v>
          </cell>
        </row>
        <row r="88">
          <cell r="A88">
            <v>38718</v>
          </cell>
        </row>
        <row r="89">
          <cell r="A89">
            <v>38749</v>
          </cell>
        </row>
        <row r="90">
          <cell r="A90">
            <v>38777</v>
          </cell>
        </row>
        <row r="91">
          <cell r="A91">
            <v>38808</v>
          </cell>
        </row>
        <row r="92">
          <cell r="A92">
            <v>38838</v>
          </cell>
        </row>
        <row r="93">
          <cell r="A93">
            <v>38869</v>
          </cell>
        </row>
        <row r="94">
          <cell r="A94">
            <v>38899</v>
          </cell>
        </row>
        <row r="95">
          <cell r="A95">
            <v>38930</v>
          </cell>
        </row>
        <row r="96">
          <cell r="A96">
            <v>38961</v>
          </cell>
        </row>
        <row r="97">
          <cell r="A97">
            <v>38991</v>
          </cell>
        </row>
        <row r="98">
          <cell r="A98">
            <v>39022</v>
          </cell>
        </row>
        <row r="99">
          <cell r="A99">
            <v>39052</v>
          </cell>
        </row>
        <row r="100">
          <cell r="A100">
            <v>39083</v>
          </cell>
        </row>
        <row r="101">
          <cell r="A101">
            <v>39114</v>
          </cell>
        </row>
        <row r="102">
          <cell r="A102">
            <v>39142</v>
          </cell>
        </row>
        <row r="103">
          <cell r="A103">
            <v>39173</v>
          </cell>
        </row>
        <row r="104">
          <cell r="A104">
            <v>39203</v>
          </cell>
        </row>
        <row r="105">
          <cell r="A105">
            <v>39234</v>
          </cell>
        </row>
        <row r="106">
          <cell r="A106">
            <v>39264</v>
          </cell>
        </row>
        <row r="107">
          <cell r="A107">
            <v>39295</v>
          </cell>
        </row>
        <row r="108">
          <cell r="A108">
            <v>39326</v>
          </cell>
        </row>
        <row r="109">
          <cell r="A109">
            <v>39356</v>
          </cell>
        </row>
        <row r="110">
          <cell r="A110">
            <v>39387</v>
          </cell>
        </row>
        <row r="111">
          <cell r="A111">
            <v>39417</v>
          </cell>
        </row>
        <row r="112">
          <cell r="A112">
            <v>39448</v>
          </cell>
        </row>
        <row r="113">
          <cell r="A113">
            <v>39479</v>
          </cell>
        </row>
        <row r="114">
          <cell r="A114">
            <v>39508</v>
          </cell>
        </row>
        <row r="115">
          <cell r="A115">
            <v>39539</v>
          </cell>
        </row>
        <row r="116">
          <cell r="A116">
            <v>39569</v>
          </cell>
        </row>
        <row r="117">
          <cell r="A117">
            <v>39600</v>
          </cell>
        </row>
        <row r="118">
          <cell r="A118">
            <v>39630</v>
          </cell>
        </row>
        <row r="119">
          <cell r="A119">
            <v>39661</v>
          </cell>
        </row>
        <row r="120">
          <cell r="A120">
            <v>39692</v>
          </cell>
        </row>
        <row r="121">
          <cell r="A121">
            <v>39722</v>
          </cell>
        </row>
        <row r="122">
          <cell r="A122">
            <v>39753</v>
          </cell>
        </row>
        <row r="123">
          <cell r="A123">
            <v>39783</v>
          </cell>
        </row>
        <row r="124">
          <cell r="A124">
            <v>39814</v>
          </cell>
        </row>
        <row r="125">
          <cell r="A125">
            <v>39845</v>
          </cell>
        </row>
        <row r="126">
          <cell r="A126">
            <v>39873</v>
          </cell>
        </row>
        <row r="127">
          <cell r="A127">
            <v>39904</v>
          </cell>
        </row>
        <row r="128">
          <cell r="A128">
            <v>39934</v>
          </cell>
        </row>
        <row r="129">
          <cell r="A129">
            <v>39965</v>
          </cell>
        </row>
        <row r="130">
          <cell r="A130">
            <v>39995</v>
          </cell>
        </row>
        <row r="131">
          <cell r="A131">
            <v>40026</v>
          </cell>
        </row>
        <row r="132">
          <cell r="A132">
            <v>40057</v>
          </cell>
        </row>
        <row r="133">
          <cell r="A133">
            <v>40087</v>
          </cell>
        </row>
        <row r="134">
          <cell r="A134">
            <v>40118</v>
          </cell>
        </row>
        <row r="135">
          <cell r="A135">
            <v>40148</v>
          </cell>
        </row>
        <row r="136">
          <cell r="A136">
            <v>40179</v>
          </cell>
        </row>
        <row r="137">
          <cell r="A137">
            <v>40210</v>
          </cell>
        </row>
        <row r="138">
          <cell r="A138">
            <v>40238</v>
          </cell>
        </row>
        <row r="139">
          <cell r="A139">
            <v>40269</v>
          </cell>
        </row>
        <row r="140">
          <cell r="A140">
            <v>40299</v>
          </cell>
        </row>
        <row r="141">
          <cell r="A141">
            <v>40330</v>
          </cell>
        </row>
        <row r="142">
          <cell r="A142">
            <v>40360</v>
          </cell>
        </row>
        <row r="143">
          <cell r="A143">
            <v>40391</v>
          </cell>
        </row>
        <row r="144">
          <cell r="A144">
            <v>40422</v>
          </cell>
        </row>
        <row r="145">
          <cell r="A145">
            <v>40452</v>
          </cell>
        </row>
        <row r="146">
          <cell r="A146">
            <v>40483</v>
          </cell>
        </row>
        <row r="147">
          <cell r="A147">
            <v>40513</v>
          </cell>
        </row>
        <row r="148">
          <cell r="A148">
            <v>40544</v>
          </cell>
        </row>
        <row r="149">
          <cell r="A149">
            <v>40575</v>
          </cell>
        </row>
        <row r="150">
          <cell r="A150">
            <v>40603</v>
          </cell>
        </row>
        <row r="151">
          <cell r="A151">
            <v>40634</v>
          </cell>
        </row>
        <row r="152">
          <cell r="A152">
            <v>40664</v>
          </cell>
        </row>
        <row r="153">
          <cell r="A153">
            <v>40695</v>
          </cell>
        </row>
        <row r="154">
          <cell r="A154">
            <v>40725</v>
          </cell>
        </row>
        <row r="155">
          <cell r="A155">
            <v>40756</v>
          </cell>
        </row>
        <row r="156">
          <cell r="A156">
            <v>40787</v>
          </cell>
        </row>
        <row r="157">
          <cell r="A157">
            <v>40817</v>
          </cell>
        </row>
        <row r="158">
          <cell r="A158">
            <v>40848</v>
          </cell>
        </row>
        <row r="159">
          <cell r="A159">
            <v>40878</v>
          </cell>
        </row>
        <row r="160">
          <cell r="A160">
            <v>40909</v>
          </cell>
        </row>
        <row r="161">
          <cell r="A161">
            <v>40940</v>
          </cell>
        </row>
        <row r="162">
          <cell r="A162">
            <v>40969</v>
          </cell>
        </row>
        <row r="163">
          <cell r="A163">
            <v>41000</v>
          </cell>
        </row>
        <row r="164">
          <cell r="A164">
            <v>41030</v>
          </cell>
        </row>
        <row r="165">
          <cell r="A165">
            <v>41061</v>
          </cell>
        </row>
        <row r="166">
          <cell r="A166">
            <v>41091</v>
          </cell>
        </row>
        <row r="167">
          <cell r="A167">
            <v>41122</v>
          </cell>
        </row>
        <row r="168">
          <cell r="A168">
            <v>41153</v>
          </cell>
        </row>
        <row r="169">
          <cell r="A169">
            <v>41183</v>
          </cell>
        </row>
        <row r="170">
          <cell r="A170">
            <v>41214</v>
          </cell>
        </row>
        <row r="171">
          <cell r="A171">
            <v>41244</v>
          </cell>
        </row>
        <row r="172">
          <cell r="A172">
            <v>41275</v>
          </cell>
        </row>
        <row r="173">
          <cell r="A173">
            <v>41306</v>
          </cell>
        </row>
        <row r="174">
          <cell r="A174">
            <v>41334</v>
          </cell>
        </row>
        <row r="175">
          <cell r="A175">
            <v>41365</v>
          </cell>
        </row>
        <row r="176">
          <cell r="A176">
            <v>41395</v>
          </cell>
        </row>
        <row r="177">
          <cell r="A177">
            <v>41426</v>
          </cell>
        </row>
        <row r="178">
          <cell r="A178">
            <v>41456</v>
          </cell>
        </row>
        <row r="179">
          <cell r="A179">
            <v>41487</v>
          </cell>
        </row>
        <row r="180">
          <cell r="A180">
            <v>41518</v>
          </cell>
        </row>
        <row r="181">
          <cell r="A181">
            <v>41548</v>
          </cell>
        </row>
        <row r="182">
          <cell r="A182">
            <v>41579</v>
          </cell>
        </row>
        <row r="183">
          <cell r="A183">
            <v>41609</v>
          </cell>
        </row>
        <row r="184">
          <cell r="A184">
            <v>41640</v>
          </cell>
        </row>
        <row r="185">
          <cell r="A185">
            <v>41671</v>
          </cell>
        </row>
        <row r="186">
          <cell r="A186">
            <v>41699</v>
          </cell>
        </row>
        <row r="187">
          <cell r="A187">
            <v>41730</v>
          </cell>
        </row>
        <row r="188">
          <cell r="A188">
            <v>41760</v>
          </cell>
        </row>
        <row r="189">
          <cell r="A189">
            <v>41791</v>
          </cell>
        </row>
        <row r="190">
          <cell r="A190">
            <v>41821</v>
          </cell>
        </row>
        <row r="191">
          <cell r="A191">
            <v>41852</v>
          </cell>
        </row>
        <row r="192">
          <cell r="A192">
            <v>41883</v>
          </cell>
        </row>
        <row r="193">
          <cell r="A193">
            <v>41913</v>
          </cell>
        </row>
        <row r="194">
          <cell r="A194">
            <v>41944</v>
          </cell>
        </row>
        <row r="195">
          <cell r="A195">
            <v>41974</v>
          </cell>
        </row>
        <row r="196">
          <cell r="A196">
            <v>42005</v>
          </cell>
        </row>
        <row r="197">
          <cell r="A197">
            <v>42036</v>
          </cell>
        </row>
        <row r="198">
          <cell r="A198">
            <v>42064</v>
          </cell>
        </row>
        <row r="199">
          <cell r="A199">
            <v>42095</v>
          </cell>
        </row>
        <row r="200">
          <cell r="A200">
            <v>42125</v>
          </cell>
        </row>
        <row r="201">
          <cell r="A201">
            <v>42156</v>
          </cell>
        </row>
        <row r="202">
          <cell r="A202">
            <v>42186</v>
          </cell>
        </row>
        <row r="203">
          <cell r="A203">
            <v>42217</v>
          </cell>
        </row>
        <row r="204">
          <cell r="A204">
            <v>42248</v>
          </cell>
        </row>
        <row r="205">
          <cell r="A205">
            <v>42278</v>
          </cell>
        </row>
        <row r="206">
          <cell r="A206">
            <v>42309</v>
          </cell>
        </row>
        <row r="207">
          <cell r="A207">
            <v>42339</v>
          </cell>
        </row>
        <row r="208">
          <cell r="A208">
            <v>42370</v>
          </cell>
        </row>
        <row r="209">
          <cell r="A209">
            <v>42401</v>
          </cell>
        </row>
        <row r="210">
          <cell r="A210">
            <v>42430</v>
          </cell>
        </row>
        <row r="211">
          <cell r="A211">
            <v>42461</v>
          </cell>
        </row>
        <row r="212">
          <cell r="A212">
            <v>42491</v>
          </cell>
        </row>
        <row r="213">
          <cell r="A213">
            <v>42522</v>
          </cell>
        </row>
        <row r="214">
          <cell r="A214">
            <v>42552</v>
          </cell>
        </row>
        <row r="215">
          <cell r="A215">
            <v>42583</v>
          </cell>
        </row>
        <row r="216">
          <cell r="A216">
            <v>42614</v>
          </cell>
        </row>
        <row r="217">
          <cell r="A217">
            <v>42644</v>
          </cell>
        </row>
        <row r="218">
          <cell r="A218">
            <v>42675</v>
          </cell>
        </row>
        <row r="219">
          <cell r="A219">
            <v>42705</v>
          </cell>
        </row>
        <row r="220">
          <cell r="A220">
            <v>42736</v>
          </cell>
        </row>
        <row r="221">
          <cell r="A221">
            <v>42767</v>
          </cell>
        </row>
        <row r="222">
          <cell r="A222">
            <v>42795</v>
          </cell>
        </row>
        <row r="223">
          <cell r="A223">
            <v>42826</v>
          </cell>
        </row>
        <row r="224">
          <cell r="A224">
            <v>42856</v>
          </cell>
        </row>
        <row r="225">
          <cell r="A225">
            <v>42887</v>
          </cell>
        </row>
        <row r="226">
          <cell r="A226">
            <v>42917</v>
          </cell>
        </row>
        <row r="227">
          <cell r="A227">
            <v>42948</v>
          </cell>
        </row>
        <row r="228">
          <cell r="A228">
            <v>42979</v>
          </cell>
        </row>
        <row r="229">
          <cell r="A229">
            <v>43009</v>
          </cell>
        </row>
        <row r="230">
          <cell r="A230">
            <v>43040</v>
          </cell>
        </row>
        <row r="231">
          <cell r="A231">
            <v>43070</v>
          </cell>
        </row>
        <row r="232">
          <cell r="A232">
            <v>43101</v>
          </cell>
        </row>
        <row r="233">
          <cell r="A233">
            <v>43132</v>
          </cell>
        </row>
        <row r="234">
          <cell r="A234">
            <v>43160</v>
          </cell>
        </row>
        <row r="235">
          <cell r="A235">
            <v>43191</v>
          </cell>
        </row>
        <row r="236">
          <cell r="A236">
            <v>43221</v>
          </cell>
        </row>
        <row r="237">
          <cell r="A237">
            <v>43252</v>
          </cell>
        </row>
        <row r="238">
          <cell r="A238">
            <v>43282</v>
          </cell>
        </row>
        <row r="239">
          <cell r="A239">
            <v>43313</v>
          </cell>
        </row>
        <row r="240">
          <cell r="A240">
            <v>43344</v>
          </cell>
        </row>
        <row r="241">
          <cell r="A241">
            <v>43374</v>
          </cell>
        </row>
        <row r="242">
          <cell r="A242">
            <v>43405</v>
          </cell>
        </row>
        <row r="243">
          <cell r="A243">
            <v>43435</v>
          </cell>
        </row>
        <row r="244">
          <cell r="A244">
            <v>43466</v>
          </cell>
        </row>
        <row r="245">
          <cell r="A245">
            <v>43497</v>
          </cell>
        </row>
        <row r="246">
          <cell r="A246">
            <v>43525</v>
          </cell>
        </row>
        <row r="247">
          <cell r="A247">
            <v>43556</v>
          </cell>
        </row>
        <row r="248">
          <cell r="A248">
            <v>43586</v>
          </cell>
        </row>
        <row r="249">
          <cell r="A249">
            <v>43617</v>
          </cell>
        </row>
        <row r="250">
          <cell r="A250">
            <v>43647</v>
          </cell>
        </row>
        <row r="251">
          <cell r="A251">
            <v>43678</v>
          </cell>
        </row>
        <row r="252">
          <cell r="A252">
            <v>43709</v>
          </cell>
        </row>
        <row r="253">
          <cell r="A253">
            <v>43739</v>
          </cell>
        </row>
        <row r="254">
          <cell r="A254">
            <v>43770</v>
          </cell>
        </row>
        <row r="255">
          <cell r="A255">
            <v>43800</v>
          </cell>
        </row>
        <row r="256">
          <cell r="A256">
            <v>43831</v>
          </cell>
        </row>
        <row r="257">
          <cell r="A257">
            <v>43862</v>
          </cell>
        </row>
        <row r="258">
          <cell r="A258">
            <v>43891</v>
          </cell>
        </row>
        <row r="259">
          <cell r="A259">
            <v>43922</v>
          </cell>
        </row>
        <row r="260">
          <cell r="A260">
            <v>43952</v>
          </cell>
        </row>
        <row r="261">
          <cell r="A261">
            <v>43983</v>
          </cell>
        </row>
        <row r="262">
          <cell r="A262">
            <v>44013</v>
          </cell>
        </row>
        <row r="263">
          <cell r="A263">
            <v>44044</v>
          </cell>
        </row>
        <row r="264">
          <cell r="A264">
            <v>44075</v>
          </cell>
        </row>
        <row r="265">
          <cell r="A265">
            <v>44105</v>
          </cell>
        </row>
        <row r="266">
          <cell r="A266">
            <v>44136</v>
          </cell>
        </row>
        <row r="267">
          <cell r="A267">
            <v>44166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276"/>
  <sheetViews>
    <sheetView tabSelected="1" topLeftCell="I51" workbookViewId="0">
      <selection activeCell="M32" sqref="M32"/>
    </sheetView>
  </sheetViews>
  <sheetFormatPr defaultRowHeight="12.75" x14ac:dyDescent="0.2"/>
  <cols>
    <col min="1" max="1" width="8.42578125" style="10" customWidth="1"/>
    <col min="2" max="2" width="2.7109375" customWidth="1"/>
    <col min="3" max="3" width="15.5703125" style="10" customWidth="1"/>
    <col min="4" max="4" width="2.7109375" customWidth="1"/>
    <col min="5" max="5" width="11.42578125" style="10" customWidth="1"/>
    <col min="6" max="6" width="2.7109375" customWidth="1"/>
    <col min="7" max="7" width="35.5703125" customWidth="1"/>
    <col min="8" max="8" width="2.85546875" customWidth="1"/>
    <col min="9" max="9" width="13.5703125" customWidth="1"/>
    <col min="10" max="10" width="2" customWidth="1"/>
    <col min="11" max="11" width="14.7109375" style="45" customWidth="1"/>
    <col min="12" max="12" width="2.5703125" customWidth="1"/>
    <col min="13" max="13" width="12.7109375" style="115" customWidth="1"/>
    <col min="14" max="14" width="2.42578125" customWidth="1"/>
    <col min="15" max="15" width="13.42578125" style="10" customWidth="1"/>
    <col min="16" max="16" width="2.85546875" customWidth="1"/>
    <col min="17" max="17" width="45.28515625" customWidth="1"/>
  </cols>
  <sheetData>
    <row r="1" spans="1:20" ht="23.25" x14ac:dyDescent="0.35">
      <c r="A1" s="184" t="s">
        <v>340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18"/>
      <c r="S1" s="118"/>
      <c r="T1" s="118"/>
    </row>
    <row r="2" spans="1:20" x14ac:dyDescent="0.2">
      <c r="E2" s="52"/>
    </row>
    <row r="3" spans="1:20" x14ac:dyDescent="0.2">
      <c r="E3" s="52"/>
    </row>
    <row r="5" spans="1:20" x14ac:dyDescent="0.2">
      <c r="B5" s="52"/>
      <c r="D5" s="52"/>
      <c r="E5" s="52"/>
      <c r="F5" s="52"/>
      <c r="G5" s="52"/>
      <c r="H5" s="52"/>
      <c r="I5" s="52" t="s">
        <v>6</v>
      </c>
      <c r="J5" s="52"/>
      <c r="K5" s="56" t="s">
        <v>226</v>
      </c>
      <c r="L5" s="52"/>
      <c r="M5" s="56" t="s">
        <v>227</v>
      </c>
      <c r="N5" s="52"/>
      <c r="O5" s="52"/>
      <c r="P5" s="52"/>
      <c r="Q5" s="52"/>
    </row>
    <row r="6" spans="1:20" ht="13.5" thickBot="1" x14ac:dyDescent="0.25">
      <c r="A6" s="68" t="s">
        <v>41</v>
      </c>
      <c r="B6" s="68"/>
      <c r="C6" s="68" t="s">
        <v>190</v>
      </c>
      <c r="D6" s="68"/>
      <c r="E6" s="68" t="s">
        <v>0</v>
      </c>
      <c r="F6" s="68"/>
      <c r="G6" s="68" t="s">
        <v>225</v>
      </c>
      <c r="H6" s="68"/>
      <c r="I6" s="68" t="s">
        <v>25</v>
      </c>
      <c r="J6" s="68"/>
      <c r="K6" s="112" t="s">
        <v>8</v>
      </c>
      <c r="L6" s="68"/>
      <c r="M6" s="112" t="s">
        <v>228</v>
      </c>
      <c r="N6" s="68"/>
      <c r="O6" s="68" t="s">
        <v>229</v>
      </c>
      <c r="P6" s="68"/>
      <c r="Q6" s="68" t="s">
        <v>230</v>
      </c>
    </row>
    <row r="7" spans="1:20" x14ac:dyDescent="0.2">
      <c r="B7" s="111"/>
      <c r="D7" s="111"/>
      <c r="E7" s="111"/>
      <c r="F7" s="111"/>
      <c r="G7" s="111"/>
      <c r="H7" s="111"/>
      <c r="I7" s="111"/>
      <c r="J7" s="111"/>
      <c r="K7" s="113"/>
      <c r="L7" s="111"/>
      <c r="M7" s="113"/>
      <c r="N7" s="111"/>
      <c r="O7" s="111"/>
      <c r="P7" s="111"/>
      <c r="Q7" s="111"/>
    </row>
    <row r="8" spans="1:20" x14ac:dyDescent="0.2">
      <c r="A8" s="10">
        <v>1</v>
      </c>
      <c r="B8" s="111"/>
      <c r="C8" s="91" t="s">
        <v>326</v>
      </c>
      <c r="D8" s="111"/>
      <c r="E8" s="125">
        <v>36896</v>
      </c>
      <c r="F8" s="111"/>
      <c r="G8" s="41" t="s">
        <v>136</v>
      </c>
      <c r="H8" s="111"/>
      <c r="I8" s="96">
        <f>60000*6</f>
        <v>360000</v>
      </c>
      <c r="J8" s="111"/>
      <c r="K8" s="114">
        <v>900</v>
      </c>
      <c r="L8" s="111"/>
      <c r="M8" s="114">
        <v>900</v>
      </c>
      <c r="N8" s="111"/>
      <c r="O8" s="117">
        <f>K8-M8</f>
        <v>0</v>
      </c>
      <c r="P8" s="111"/>
      <c r="Q8" s="116" t="s">
        <v>359</v>
      </c>
    </row>
    <row r="9" spans="1:20" x14ac:dyDescent="0.2">
      <c r="B9" s="111"/>
      <c r="C9" s="91"/>
      <c r="D9" s="111"/>
      <c r="E9" s="125"/>
      <c r="F9" s="111"/>
      <c r="G9" s="41"/>
      <c r="H9" s="111"/>
      <c r="I9" s="96"/>
      <c r="J9" s="111"/>
      <c r="K9" s="114"/>
      <c r="L9" s="111"/>
      <c r="M9" s="114"/>
      <c r="N9" s="111"/>
      <c r="O9" s="117"/>
      <c r="P9" s="111"/>
      <c r="Q9" s="116"/>
    </row>
    <row r="10" spans="1:20" x14ac:dyDescent="0.2">
      <c r="A10" s="10">
        <v>2</v>
      </c>
      <c r="B10" s="111"/>
      <c r="C10" s="91" t="s">
        <v>331</v>
      </c>
      <c r="D10" s="111"/>
      <c r="E10" s="125">
        <v>36901</v>
      </c>
      <c r="F10" s="111"/>
      <c r="G10" s="41" t="s">
        <v>332</v>
      </c>
      <c r="H10" s="111"/>
      <c r="I10" s="96">
        <f>60000*3</f>
        <v>180000</v>
      </c>
      <c r="J10" s="111"/>
      <c r="K10" s="114">
        <v>2700</v>
      </c>
      <c r="L10" s="111"/>
      <c r="M10" s="114">
        <v>2700</v>
      </c>
      <c r="N10" s="111"/>
      <c r="O10" s="117">
        <f>K10-M10</f>
        <v>0</v>
      </c>
      <c r="P10" s="111"/>
      <c r="Q10" s="116" t="s">
        <v>360</v>
      </c>
    </row>
    <row r="11" spans="1:20" x14ac:dyDescent="0.2">
      <c r="B11" s="111"/>
      <c r="D11" s="111"/>
      <c r="E11" s="125"/>
      <c r="F11" s="111"/>
      <c r="G11" s="41"/>
      <c r="H11" s="111"/>
      <c r="I11" s="96"/>
      <c r="J11" s="111"/>
      <c r="K11" s="114"/>
      <c r="L11" s="111"/>
      <c r="M11" s="114"/>
      <c r="N11" s="111"/>
      <c r="O11" s="117"/>
      <c r="P11" s="111"/>
      <c r="Q11" s="116"/>
    </row>
    <row r="12" spans="1:20" x14ac:dyDescent="0.2">
      <c r="A12" s="10">
        <v>3</v>
      </c>
      <c r="B12" s="111"/>
      <c r="C12" s="10" t="s">
        <v>338</v>
      </c>
      <c r="D12" s="111"/>
      <c r="E12" s="125">
        <v>36910</v>
      </c>
      <c r="F12" s="111"/>
      <c r="G12" s="41" t="s">
        <v>333</v>
      </c>
      <c r="H12" s="111"/>
      <c r="I12" s="96">
        <v>1040000</v>
      </c>
      <c r="J12" s="111"/>
      <c r="K12" s="114">
        <v>31000</v>
      </c>
      <c r="L12" s="111"/>
      <c r="M12" s="114">
        <v>31000</v>
      </c>
      <c r="N12" s="111"/>
      <c r="O12" s="117">
        <f>K12-M12</f>
        <v>0</v>
      </c>
      <c r="P12" s="111"/>
      <c r="Q12" s="116" t="s">
        <v>361</v>
      </c>
    </row>
    <row r="13" spans="1:20" x14ac:dyDescent="0.2">
      <c r="B13" s="111"/>
      <c r="D13" s="111"/>
      <c r="E13" s="125"/>
      <c r="F13" s="111"/>
      <c r="G13" s="41"/>
      <c r="H13" s="111"/>
      <c r="I13" s="96"/>
      <c r="J13" s="111"/>
      <c r="K13" s="114"/>
      <c r="L13" s="111"/>
      <c r="M13" s="114"/>
      <c r="N13" s="111"/>
      <c r="O13" s="117"/>
      <c r="P13" s="111"/>
      <c r="Q13" s="116"/>
    </row>
    <row r="14" spans="1:20" x14ac:dyDescent="0.2">
      <c r="A14" s="10">
        <v>4</v>
      </c>
      <c r="B14" s="111"/>
      <c r="C14" s="10" t="s">
        <v>336</v>
      </c>
      <c r="D14" s="111"/>
      <c r="E14" s="125">
        <v>36913</v>
      </c>
      <c r="F14" s="111"/>
      <c r="G14" s="41" t="s">
        <v>335</v>
      </c>
      <c r="H14" s="111"/>
      <c r="I14" s="96">
        <f>40000*2</f>
        <v>80000</v>
      </c>
      <c r="J14" s="111"/>
      <c r="K14" s="114">
        <v>800</v>
      </c>
      <c r="L14" s="111"/>
      <c r="M14" s="114">
        <v>800</v>
      </c>
      <c r="N14" s="111"/>
      <c r="O14" s="117">
        <f>K14-M14</f>
        <v>0</v>
      </c>
      <c r="P14" s="111"/>
      <c r="Q14" s="116" t="s">
        <v>362</v>
      </c>
    </row>
    <row r="15" spans="1:20" x14ac:dyDescent="0.2">
      <c r="B15" s="111"/>
      <c r="D15" s="111"/>
      <c r="E15" s="125"/>
      <c r="F15" s="111"/>
      <c r="G15" s="41"/>
      <c r="H15" s="111"/>
      <c r="I15" s="96"/>
      <c r="J15" s="111"/>
      <c r="K15" s="114"/>
      <c r="L15" s="111"/>
      <c r="M15" s="114"/>
      <c r="N15" s="111"/>
      <c r="O15" s="117"/>
      <c r="P15" s="111"/>
      <c r="Q15" s="116"/>
    </row>
    <row r="16" spans="1:20" x14ac:dyDescent="0.2">
      <c r="A16" s="119">
        <v>100</v>
      </c>
      <c r="B16" s="120"/>
      <c r="C16" s="119" t="s">
        <v>337</v>
      </c>
      <c r="D16" s="120"/>
      <c r="E16" s="126">
        <v>36896</v>
      </c>
      <c r="F16" s="120"/>
      <c r="G16" s="105" t="s">
        <v>276</v>
      </c>
      <c r="H16" s="120"/>
      <c r="I16" s="121">
        <v>0</v>
      </c>
      <c r="J16" s="120"/>
      <c r="K16" s="155">
        <v>0</v>
      </c>
      <c r="L16" s="156"/>
      <c r="M16" s="157">
        <v>4537</v>
      </c>
      <c r="N16" s="156"/>
      <c r="O16" s="122">
        <f>K16-M16</f>
        <v>-4537</v>
      </c>
      <c r="P16" s="120"/>
      <c r="Q16" s="123" t="s">
        <v>283</v>
      </c>
      <c r="R16" s="124"/>
    </row>
    <row r="17" spans="1:18" x14ac:dyDescent="0.2">
      <c r="A17" s="119"/>
      <c r="B17" s="120"/>
      <c r="C17" s="119"/>
      <c r="D17" s="120"/>
      <c r="E17" s="126"/>
      <c r="F17" s="120"/>
      <c r="G17" s="105"/>
      <c r="H17" s="120"/>
      <c r="I17" s="121"/>
      <c r="J17" s="120"/>
      <c r="K17" s="121"/>
      <c r="L17" s="156"/>
      <c r="M17" s="157"/>
      <c r="N17" s="156"/>
      <c r="O17" s="122"/>
      <c r="P17" s="120"/>
      <c r="Q17" s="123" t="s">
        <v>370</v>
      </c>
      <c r="R17" s="124"/>
    </row>
    <row r="18" spans="1:18" s="124" customFormat="1" x14ac:dyDescent="0.2">
      <c r="A18" s="128"/>
      <c r="B18" s="129"/>
      <c r="C18" s="128"/>
      <c r="D18" s="129"/>
      <c r="E18" s="130"/>
      <c r="F18" s="129"/>
      <c r="G18" s="131"/>
      <c r="H18" s="129"/>
      <c r="I18" s="132"/>
      <c r="J18" s="129"/>
      <c r="K18" s="132"/>
      <c r="L18" s="129"/>
      <c r="M18" s="132"/>
      <c r="N18" s="129"/>
      <c r="O18" s="133"/>
      <c r="P18" s="129"/>
      <c r="Q18" s="134"/>
    </row>
    <row r="19" spans="1:18" x14ac:dyDescent="0.2">
      <c r="G19" s="158" t="s">
        <v>339</v>
      </c>
      <c r="I19" s="73">
        <f>SUM(I7:I18)</f>
        <v>1660000</v>
      </c>
      <c r="J19" s="73" t="s">
        <v>226</v>
      </c>
      <c r="K19" s="160">
        <f>SUM(K7:K18)</f>
        <v>35400</v>
      </c>
      <c r="L19" s="73" t="s">
        <v>226</v>
      </c>
      <c r="M19" s="160">
        <f>SUM(M7:M18)</f>
        <v>39937</v>
      </c>
      <c r="N19" s="73" t="s">
        <v>226</v>
      </c>
      <c r="O19" s="160">
        <f>SUM(O7:O18)</f>
        <v>-4537</v>
      </c>
      <c r="P19" s="70"/>
      <c r="Q19" s="97"/>
    </row>
    <row r="20" spans="1:18" s="124" customFormat="1" x14ac:dyDescent="0.2">
      <c r="A20" s="128"/>
      <c r="B20" s="129"/>
      <c r="C20" s="128"/>
      <c r="D20" s="129"/>
      <c r="E20" s="130"/>
      <c r="F20" s="129"/>
      <c r="G20" s="131"/>
      <c r="H20" s="129"/>
      <c r="I20" s="132"/>
      <c r="J20" s="129"/>
      <c r="K20" s="132"/>
      <c r="L20" s="129"/>
      <c r="M20" s="132"/>
      <c r="N20" s="129"/>
      <c r="O20" s="133"/>
      <c r="P20" s="129"/>
      <c r="Q20" s="134"/>
    </row>
    <row r="21" spans="1:18" x14ac:dyDescent="0.2">
      <c r="B21" s="111"/>
      <c r="D21" s="111"/>
      <c r="E21" s="125"/>
      <c r="F21" s="111"/>
      <c r="G21" s="41"/>
      <c r="H21" s="111"/>
      <c r="I21" s="96"/>
      <c r="J21" s="111"/>
      <c r="K21" s="114"/>
      <c r="L21" s="111"/>
      <c r="M21" s="114"/>
      <c r="N21" s="111"/>
      <c r="O21" s="117"/>
      <c r="P21" s="111"/>
      <c r="Q21" s="116"/>
    </row>
    <row r="22" spans="1:18" x14ac:dyDescent="0.2">
      <c r="A22" s="10">
        <v>5</v>
      </c>
      <c r="B22" s="111"/>
      <c r="C22" s="10" t="s">
        <v>341</v>
      </c>
      <c r="D22" s="111"/>
      <c r="E22" s="125">
        <v>36934</v>
      </c>
      <c r="F22" s="111"/>
      <c r="G22" s="41" t="s">
        <v>342</v>
      </c>
      <c r="H22" s="111"/>
      <c r="I22" s="96">
        <f>60000*12</f>
        <v>720000</v>
      </c>
      <c r="J22" s="111"/>
      <c r="K22" s="114">
        <f>12*600</f>
        <v>7200</v>
      </c>
      <c r="L22" s="111"/>
      <c r="M22" s="114">
        <v>7200</v>
      </c>
      <c r="N22" s="111"/>
      <c r="O22" s="117">
        <f>K22-M22</f>
        <v>0</v>
      </c>
      <c r="P22" s="111"/>
      <c r="Q22" s="116" t="s">
        <v>363</v>
      </c>
    </row>
    <row r="23" spans="1:18" x14ac:dyDescent="0.2">
      <c r="B23" s="111"/>
      <c r="D23" s="111"/>
      <c r="E23" s="125"/>
      <c r="F23" s="111"/>
      <c r="G23" s="41"/>
      <c r="H23" s="111"/>
      <c r="I23" s="96"/>
      <c r="J23" s="111"/>
      <c r="K23" s="114"/>
      <c r="L23" s="111"/>
      <c r="M23" s="114"/>
      <c r="N23" s="111"/>
      <c r="O23" s="117"/>
      <c r="P23" s="111"/>
      <c r="Q23" s="116"/>
    </row>
    <row r="24" spans="1:18" s="124" customFormat="1" x14ac:dyDescent="0.2">
      <c r="A24" s="128">
        <v>6</v>
      </c>
      <c r="B24" s="129"/>
      <c r="C24" s="128" t="s">
        <v>343</v>
      </c>
      <c r="D24" s="129"/>
      <c r="E24" s="130">
        <v>36938</v>
      </c>
      <c r="F24" s="129"/>
      <c r="G24" s="131" t="s">
        <v>13</v>
      </c>
      <c r="H24" s="129"/>
      <c r="I24" s="183">
        <f>21081*7</f>
        <v>147567</v>
      </c>
      <c r="J24" s="129"/>
      <c r="K24" s="132">
        <f>843.24*7</f>
        <v>5902.68</v>
      </c>
      <c r="L24" s="129"/>
      <c r="M24" s="132">
        <v>5010</v>
      </c>
      <c r="N24" s="129"/>
      <c r="O24" s="133">
        <f>K24-M24</f>
        <v>892.68000000000029</v>
      </c>
      <c r="P24" s="129"/>
      <c r="Q24" s="134" t="s">
        <v>371</v>
      </c>
    </row>
    <row r="25" spans="1:18" s="124" customFormat="1" x14ac:dyDescent="0.2">
      <c r="A25" s="128"/>
      <c r="B25" s="129"/>
      <c r="C25" s="128"/>
      <c r="D25" s="129"/>
      <c r="E25" s="130"/>
      <c r="F25" s="129"/>
      <c r="G25" s="131"/>
      <c r="H25" s="129"/>
      <c r="I25" s="183"/>
      <c r="J25" s="129"/>
      <c r="K25" s="132"/>
      <c r="L25" s="129"/>
      <c r="M25" s="132"/>
      <c r="N25" s="129"/>
      <c r="O25" s="133"/>
      <c r="P25" s="129"/>
      <c r="Q25" s="134" t="s">
        <v>372</v>
      </c>
    </row>
    <row r="26" spans="1:18" s="124" customFormat="1" x14ac:dyDescent="0.2">
      <c r="A26" s="128">
        <v>7</v>
      </c>
      <c r="B26" s="129"/>
      <c r="C26" s="128" t="s">
        <v>344</v>
      </c>
      <c r="D26" s="129"/>
      <c r="E26" s="130">
        <v>36944</v>
      </c>
      <c r="F26" s="129"/>
      <c r="G26" s="131" t="s">
        <v>35</v>
      </c>
      <c r="H26" s="129"/>
      <c r="I26" s="183">
        <f>16280*10</f>
        <v>162800</v>
      </c>
      <c r="J26" s="129"/>
      <c r="K26" s="132">
        <f>366.3*10</f>
        <v>3663</v>
      </c>
      <c r="L26" s="129"/>
      <c r="M26" s="132">
        <v>3297</v>
      </c>
      <c r="N26" s="129"/>
      <c r="O26" s="133">
        <f>K26-M26</f>
        <v>366</v>
      </c>
      <c r="P26" s="129"/>
      <c r="Q26" s="134" t="s">
        <v>373</v>
      </c>
    </row>
    <row r="27" spans="1:18" s="124" customFormat="1" x14ac:dyDescent="0.2">
      <c r="A27" s="128"/>
      <c r="B27" s="129"/>
      <c r="C27" s="128"/>
      <c r="D27" s="129"/>
      <c r="E27" s="130"/>
      <c r="F27" s="129"/>
      <c r="G27" s="131"/>
      <c r="H27" s="129"/>
      <c r="I27" s="183"/>
      <c r="J27" s="129"/>
      <c r="K27" s="132"/>
      <c r="L27" s="129"/>
      <c r="M27" s="132"/>
      <c r="N27" s="129"/>
      <c r="O27" s="133"/>
      <c r="P27" s="129"/>
      <c r="Q27" s="134" t="s">
        <v>372</v>
      </c>
    </row>
    <row r="28" spans="1:18" s="156" customFormat="1" x14ac:dyDescent="0.2">
      <c r="A28" s="119">
        <v>8</v>
      </c>
      <c r="B28" s="120"/>
      <c r="C28" s="119" t="s">
        <v>345</v>
      </c>
      <c r="D28" s="120"/>
      <c r="E28" s="126">
        <v>36944</v>
      </c>
      <c r="F28" s="120"/>
      <c r="G28" s="105" t="s">
        <v>346</v>
      </c>
      <c r="H28" s="120"/>
      <c r="I28" s="159">
        <v>11811707</v>
      </c>
      <c r="J28" s="120"/>
      <c r="K28" s="121">
        <v>118117.07</v>
      </c>
      <c r="L28" s="120"/>
      <c r="M28" s="121">
        <v>117932</v>
      </c>
      <c r="N28" s="120"/>
      <c r="O28" s="122">
        <f>K28-M28</f>
        <v>185.07000000000698</v>
      </c>
      <c r="P28" s="120"/>
      <c r="Q28" s="123" t="s">
        <v>364</v>
      </c>
    </row>
    <row r="29" spans="1:18" x14ac:dyDescent="0.2">
      <c r="B29" s="111"/>
      <c r="D29" s="111"/>
      <c r="E29" s="111"/>
      <c r="F29" s="111"/>
      <c r="G29" s="111"/>
      <c r="H29" s="111"/>
      <c r="I29" s="96"/>
      <c r="J29" s="111"/>
      <c r="K29" s="113"/>
      <c r="L29" s="111"/>
      <c r="M29" s="114"/>
      <c r="N29" s="111"/>
      <c r="O29" s="111"/>
      <c r="P29" s="111"/>
      <c r="Q29" s="116"/>
    </row>
    <row r="30" spans="1:18" s="124" customFormat="1" x14ac:dyDescent="0.2">
      <c r="A30" s="128">
        <v>9</v>
      </c>
      <c r="B30" s="129"/>
      <c r="C30" s="128"/>
      <c r="D30" s="129"/>
      <c r="E30" s="130">
        <v>36945</v>
      </c>
      <c r="F30" s="129"/>
      <c r="G30" s="131" t="s">
        <v>235</v>
      </c>
      <c r="H30" s="129"/>
      <c r="I30" s="183">
        <v>379250</v>
      </c>
      <c r="J30" s="129"/>
      <c r="K30" s="132">
        <v>7585</v>
      </c>
      <c r="L30" s="129"/>
      <c r="M30" s="132">
        <v>6826</v>
      </c>
      <c r="N30" s="129"/>
      <c r="O30" s="133">
        <f>K30-M30</f>
        <v>759</v>
      </c>
      <c r="P30" s="129"/>
      <c r="Q30" s="134" t="s">
        <v>373</v>
      </c>
    </row>
    <row r="31" spans="1:18" s="124" customFormat="1" x14ac:dyDescent="0.2">
      <c r="A31" s="128"/>
      <c r="B31" s="129"/>
      <c r="C31" s="128"/>
      <c r="D31" s="129"/>
      <c r="E31" s="130"/>
      <c r="F31" s="129"/>
      <c r="G31" s="131"/>
      <c r="H31" s="129"/>
      <c r="I31" s="183"/>
      <c r="J31" s="129"/>
      <c r="K31" s="132"/>
      <c r="L31" s="129"/>
      <c r="M31" s="132"/>
      <c r="N31" s="129"/>
      <c r="O31" s="133"/>
      <c r="P31" s="129"/>
      <c r="Q31" s="134" t="s">
        <v>372</v>
      </c>
    </row>
    <row r="32" spans="1:18" s="124" customFormat="1" x14ac:dyDescent="0.2">
      <c r="A32" s="128">
        <v>10</v>
      </c>
      <c r="B32" s="129"/>
      <c r="C32" s="128"/>
      <c r="D32" s="129"/>
      <c r="E32" s="130">
        <v>36948</v>
      </c>
      <c r="F32" s="129"/>
      <c r="G32" s="131" t="s">
        <v>235</v>
      </c>
      <c r="H32" s="129"/>
      <c r="I32" s="183">
        <f>37925*10</f>
        <v>379250</v>
      </c>
      <c r="J32" s="129"/>
      <c r="K32" s="132">
        <f>379.25*10</f>
        <v>3792.5</v>
      </c>
      <c r="L32" s="129"/>
      <c r="M32" s="132">
        <v>3413</v>
      </c>
      <c r="N32" s="129"/>
      <c r="O32" s="133">
        <f>K32-M32</f>
        <v>379.5</v>
      </c>
      <c r="P32" s="129"/>
      <c r="Q32" s="134" t="s">
        <v>373</v>
      </c>
    </row>
    <row r="33" spans="1:17" s="124" customFormat="1" x14ac:dyDescent="0.2">
      <c r="A33" s="128"/>
      <c r="B33" s="129"/>
      <c r="C33" s="128"/>
      <c r="D33" s="129"/>
      <c r="E33" s="130"/>
      <c r="F33" s="129"/>
      <c r="G33" s="131"/>
      <c r="H33" s="129"/>
      <c r="I33" s="183"/>
      <c r="J33" s="129"/>
      <c r="K33" s="132"/>
      <c r="L33" s="129"/>
      <c r="M33" s="132"/>
      <c r="N33" s="129"/>
      <c r="O33" s="133"/>
      <c r="P33" s="129"/>
      <c r="Q33" s="134" t="s">
        <v>372</v>
      </c>
    </row>
    <row r="34" spans="1:17" s="124" customFormat="1" x14ac:dyDescent="0.2">
      <c r="A34" s="119">
        <v>11</v>
      </c>
      <c r="B34" s="120"/>
      <c r="C34" s="119"/>
      <c r="D34" s="120"/>
      <c r="E34" s="126">
        <v>36949</v>
      </c>
      <c r="F34" s="120"/>
      <c r="G34" s="105" t="s">
        <v>13</v>
      </c>
      <c r="H34" s="120"/>
      <c r="I34" s="159">
        <f>32400*12</f>
        <v>388800</v>
      </c>
      <c r="J34" s="120"/>
      <c r="K34" s="121">
        <f>3240*12</f>
        <v>38880</v>
      </c>
      <c r="L34" s="120"/>
      <c r="M34" s="121">
        <v>0</v>
      </c>
      <c r="N34" s="120"/>
      <c r="O34" s="122">
        <f>K34-M34</f>
        <v>38880</v>
      </c>
      <c r="P34" s="120"/>
      <c r="Q34" s="123" t="s">
        <v>365</v>
      </c>
    </row>
    <row r="35" spans="1:17" s="124" customFormat="1" x14ac:dyDescent="0.2">
      <c r="A35" s="119"/>
      <c r="B35" s="120"/>
      <c r="C35" s="119"/>
      <c r="D35" s="120"/>
      <c r="E35" s="126"/>
      <c r="F35" s="120"/>
      <c r="G35" s="105"/>
      <c r="H35" s="120"/>
      <c r="I35" s="159"/>
      <c r="J35" s="120"/>
      <c r="K35" s="121"/>
      <c r="L35" s="120"/>
      <c r="M35" s="121"/>
      <c r="N35" s="120"/>
      <c r="O35" s="122"/>
      <c r="P35" s="120"/>
      <c r="Q35" s="123" t="s">
        <v>368</v>
      </c>
    </row>
    <row r="36" spans="1:17" s="124" customFormat="1" x14ac:dyDescent="0.2">
      <c r="A36" s="119"/>
      <c r="B36" s="120"/>
      <c r="C36" s="119"/>
      <c r="D36" s="120"/>
      <c r="E36" s="126"/>
      <c r="F36" s="120"/>
      <c r="G36" s="105"/>
      <c r="H36" s="120"/>
      <c r="I36" s="159"/>
      <c r="J36" s="120"/>
      <c r="K36" s="121"/>
      <c r="L36" s="120"/>
      <c r="M36" s="121"/>
      <c r="N36" s="120"/>
      <c r="O36" s="122"/>
      <c r="P36" s="120"/>
      <c r="Q36" s="123" t="s">
        <v>369</v>
      </c>
    </row>
    <row r="37" spans="1:17" x14ac:dyDescent="0.2">
      <c r="B37" s="111"/>
      <c r="D37" s="111"/>
      <c r="E37" s="125"/>
      <c r="F37" s="111"/>
      <c r="G37" s="41"/>
      <c r="H37" s="111"/>
      <c r="I37" s="96"/>
      <c r="J37" s="111"/>
      <c r="K37" s="114"/>
      <c r="L37" s="111"/>
      <c r="M37" s="114"/>
      <c r="N37" s="111"/>
      <c r="O37" s="117"/>
      <c r="P37" s="111"/>
      <c r="Q37" s="116"/>
    </row>
    <row r="38" spans="1:17" x14ac:dyDescent="0.2">
      <c r="A38" s="10">
        <v>12</v>
      </c>
      <c r="B38" s="111"/>
      <c r="C38" s="91"/>
      <c r="D38" s="111"/>
      <c r="E38" s="125"/>
      <c r="F38" s="111"/>
      <c r="G38" s="41" t="s">
        <v>13</v>
      </c>
      <c r="H38" s="111"/>
      <c r="I38" s="132">
        <v>0</v>
      </c>
      <c r="J38" s="161"/>
      <c r="K38" s="132">
        <v>0</v>
      </c>
      <c r="L38" s="161"/>
      <c r="M38" s="132">
        <v>0</v>
      </c>
      <c r="N38" s="161"/>
      <c r="O38" s="117">
        <f>K38-M38</f>
        <v>0</v>
      </c>
      <c r="P38" s="111"/>
      <c r="Q38" s="116" t="s">
        <v>354</v>
      </c>
    </row>
    <row r="39" spans="1:17" x14ac:dyDescent="0.2">
      <c r="B39" s="111"/>
      <c r="C39" s="91"/>
      <c r="D39" s="111"/>
      <c r="E39" s="125"/>
      <c r="F39" s="111"/>
      <c r="G39" s="41"/>
      <c r="H39" s="111"/>
      <c r="I39" s="163"/>
      <c r="J39" s="161"/>
      <c r="K39" s="163"/>
      <c r="L39" s="161"/>
      <c r="M39" s="163"/>
      <c r="N39" s="161"/>
      <c r="O39" s="162"/>
      <c r="P39" s="111"/>
      <c r="Q39" s="116"/>
    </row>
    <row r="40" spans="1:17" x14ac:dyDescent="0.2">
      <c r="A40" s="10">
        <v>13</v>
      </c>
      <c r="B40" s="111"/>
      <c r="C40" s="91"/>
      <c r="D40" s="111"/>
      <c r="E40" s="125"/>
      <c r="F40" s="111"/>
      <c r="G40" s="41" t="s">
        <v>35</v>
      </c>
      <c r="H40" s="111"/>
      <c r="I40" s="132">
        <v>0</v>
      </c>
      <c r="J40" s="161"/>
      <c r="K40" s="132">
        <v>0</v>
      </c>
      <c r="L40" s="161"/>
      <c r="M40" s="132">
        <v>0</v>
      </c>
      <c r="N40" s="161"/>
      <c r="O40" s="117">
        <f>K40-M40</f>
        <v>0</v>
      </c>
      <c r="P40" s="111"/>
      <c r="Q40" s="116" t="s">
        <v>355</v>
      </c>
    </row>
    <row r="41" spans="1:17" x14ac:dyDescent="0.2">
      <c r="B41" s="111"/>
      <c r="C41" s="91"/>
      <c r="D41" s="111"/>
      <c r="E41" s="125"/>
      <c r="F41" s="111"/>
      <c r="G41" s="41"/>
      <c r="H41" s="111"/>
      <c r="I41" s="163"/>
      <c r="J41" s="161"/>
      <c r="K41" s="163"/>
      <c r="L41" s="161"/>
      <c r="M41" s="163"/>
      <c r="N41" s="161"/>
      <c r="O41" s="162"/>
      <c r="P41" s="111"/>
      <c r="Q41" s="116"/>
    </row>
    <row r="42" spans="1:17" x14ac:dyDescent="0.2">
      <c r="A42" s="10">
        <v>14</v>
      </c>
      <c r="B42" s="111"/>
      <c r="C42" s="91"/>
      <c r="D42" s="111"/>
      <c r="E42" s="125"/>
      <c r="F42" s="111"/>
      <c r="G42" s="41" t="s">
        <v>235</v>
      </c>
      <c r="H42" s="111"/>
      <c r="I42" s="132">
        <v>0</v>
      </c>
      <c r="J42" s="161"/>
      <c r="K42" s="132">
        <v>0</v>
      </c>
      <c r="L42" s="161"/>
      <c r="M42" s="132">
        <v>0</v>
      </c>
      <c r="N42" s="161"/>
      <c r="O42" s="117">
        <f>K42-M42</f>
        <v>0</v>
      </c>
      <c r="P42" s="111"/>
      <c r="Q42" s="116" t="s">
        <v>354</v>
      </c>
    </row>
    <row r="43" spans="1:17" x14ac:dyDescent="0.2">
      <c r="B43" s="111"/>
      <c r="C43" s="91"/>
      <c r="D43" s="111"/>
      <c r="E43" s="125"/>
      <c r="F43" s="111"/>
      <c r="G43" s="41"/>
      <c r="H43" s="111"/>
      <c r="I43" s="96"/>
      <c r="J43" s="111"/>
      <c r="K43" s="114"/>
      <c r="L43" s="111"/>
      <c r="M43" s="114"/>
      <c r="N43" s="111"/>
      <c r="O43" s="117"/>
      <c r="P43" s="111"/>
      <c r="Q43" s="116"/>
    </row>
    <row r="44" spans="1:17" x14ac:dyDescent="0.2">
      <c r="G44" s="158" t="s">
        <v>366</v>
      </c>
      <c r="I44" s="73">
        <f>SUM(I22:I43)</f>
        <v>13989374</v>
      </c>
      <c r="J44" s="73" t="s">
        <v>226</v>
      </c>
      <c r="K44" s="160">
        <f>SUM(K22:K43)</f>
        <v>185140.25</v>
      </c>
      <c r="L44" s="73" t="s">
        <v>226</v>
      </c>
      <c r="M44" s="160">
        <f>SUM(M22:M43)</f>
        <v>143678</v>
      </c>
      <c r="N44" s="73" t="s">
        <v>226</v>
      </c>
      <c r="O44" s="160">
        <f>SUM(O22:O43)</f>
        <v>41462.250000000007</v>
      </c>
      <c r="P44" s="70"/>
      <c r="Q44" s="97"/>
    </row>
    <row r="45" spans="1:17" x14ac:dyDescent="0.2">
      <c r="G45" s="158"/>
      <c r="I45" s="170"/>
      <c r="J45" s="170"/>
      <c r="K45" s="171"/>
      <c r="L45" s="170"/>
      <c r="M45" s="171"/>
      <c r="N45" s="170"/>
      <c r="O45" s="171"/>
      <c r="P45" s="70"/>
      <c r="Q45" s="97"/>
    </row>
    <row r="46" spans="1:17" x14ac:dyDescent="0.2">
      <c r="G46" s="158"/>
      <c r="I46" s="170"/>
      <c r="J46" s="170"/>
      <c r="K46" s="171"/>
      <c r="L46" s="170"/>
      <c r="M46" s="171"/>
      <c r="N46" s="170"/>
      <c r="O46" s="171"/>
      <c r="P46" s="70"/>
      <c r="Q46" s="97"/>
    </row>
    <row r="47" spans="1:17" x14ac:dyDescent="0.2">
      <c r="A47" s="10">
        <v>15</v>
      </c>
      <c r="C47" s="10" t="s">
        <v>383</v>
      </c>
      <c r="E47" s="127">
        <v>36952</v>
      </c>
      <c r="G47" s="41" t="s">
        <v>111</v>
      </c>
      <c r="I47" s="170">
        <f>200000*22</f>
        <v>4400000</v>
      </c>
      <c r="J47" s="170"/>
      <c r="K47" s="178">
        <v>66000</v>
      </c>
      <c r="L47" s="178"/>
      <c r="M47" s="178">
        <v>66000</v>
      </c>
      <c r="N47" s="170"/>
      <c r="O47" s="117">
        <f>K47-M47</f>
        <v>0</v>
      </c>
      <c r="P47" s="70"/>
      <c r="Q47" s="97" t="s">
        <v>382</v>
      </c>
    </row>
    <row r="48" spans="1:17" x14ac:dyDescent="0.2">
      <c r="G48" s="41"/>
      <c r="I48" s="170"/>
      <c r="J48" s="170"/>
      <c r="K48" s="178"/>
      <c r="L48" s="178"/>
      <c r="M48" s="178"/>
      <c r="N48" s="170"/>
      <c r="O48" s="171"/>
      <c r="P48" s="70"/>
      <c r="Q48" s="97"/>
    </row>
    <row r="49" spans="1:17" s="156" customFormat="1" x14ac:dyDescent="0.2">
      <c r="A49" s="119">
        <v>16</v>
      </c>
      <c r="C49" s="119" t="s">
        <v>375</v>
      </c>
      <c r="E49" s="179">
        <v>36963</v>
      </c>
      <c r="G49" s="105" t="s">
        <v>374</v>
      </c>
      <c r="I49" s="172">
        <f>383000*33</f>
        <v>12639000</v>
      </c>
      <c r="J49" s="172"/>
      <c r="K49" s="180">
        <v>338955</v>
      </c>
      <c r="L49" s="180"/>
      <c r="M49" s="122">
        <v>0</v>
      </c>
      <c r="N49" s="172"/>
      <c r="O49" s="122">
        <f>K49-M49</f>
        <v>338955</v>
      </c>
      <c r="P49" s="173"/>
      <c r="Q49" s="174" t="s">
        <v>384</v>
      </c>
    </row>
    <row r="50" spans="1:17" s="124" customFormat="1" x14ac:dyDescent="0.2">
      <c r="A50" s="128"/>
      <c r="C50" s="128"/>
      <c r="E50" s="128"/>
      <c r="G50" s="131"/>
      <c r="I50" s="175"/>
      <c r="J50" s="175"/>
      <c r="K50" s="182"/>
      <c r="L50" s="175"/>
      <c r="M50" s="182"/>
      <c r="N50" s="175"/>
      <c r="O50" s="182"/>
      <c r="P50" s="176"/>
      <c r="Q50" s="177"/>
    </row>
    <row r="51" spans="1:17" s="124" customFormat="1" x14ac:dyDescent="0.2">
      <c r="A51" s="128"/>
      <c r="C51" s="128" t="s">
        <v>343</v>
      </c>
      <c r="E51" s="128"/>
      <c r="G51" s="131" t="s">
        <v>13</v>
      </c>
      <c r="I51" s="175"/>
      <c r="J51" s="175"/>
      <c r="K51" s="132">
        <v>0</v>
      </c>
      <c r="L51" s="175"/>
      <c r="M51" s="132">
        <v>892.68</v>
      </c>
      <c r="N51" s="175"/>
      <c r="O51" s="133">
        <f t="shared" ref="O51:O57" si="0">K51-M51</f>
        <v>-892.68</v>
      </c>
      <c r="P51" s="176"/>
      <c r="Q51" s="177" t="s">
        <v>377</v>
      </c>
    </row>
    <row r="52" spans="1:17" s="124" customFormat="1" x14ac:dyDescent="0.2">
      <c r="A52" s="128"/>
      <c r="C52" s="128"/>
      <c r="E52" s="128"/>
      <c r="G52" s="131"/>
      <c r="I52" s="175"/>
      <c r="J52" s="175"/>
      <c r="K52" s="182"/>
      <c r="L52" s="175"/>
      <c r="M52" s="132"/>
      <c r="N52" s="175"/>
      <c r="O52" s="133"/>
      <c r="P52" s="176"/>
      <c r="Q52" s="177"/>
    </row>
    <row r="53" spans="1:17" s="124" customFormat="1" x14ac:dyDescent="0.2">
      <c r="A53" s="128"/>
      <c r="C53" s="128" t="s">
        <v>344</v>
      </c>
      <c r="E53" s="128"/>
      <c r="G53" s="131" t="s">
        <v>35</v>
      </c>
      <c r="I53" s="175"/>
      <c r="J53" s="175"/>
      <c r="K53" s="132">
        <v>0</v>
      </c>
      <c r="L53" s="175"/>
      <c r="M53" s="132">
        <v>366</v>
      </c>
      <c r="N53" s="175"/>
      <c r="O53" s="133">
        <f t="shared" si="0"/>
        <v>-366</v>
      </c>
      <c r="P53" s="176"/>
      <c r="Q53" s="177" t="s">
        <v>378</v>
      </c>
    </row>
    <row r="54" spans="1:17" s="124" customFormat="1" x14ac:dyDescent="0.2">
      <c r="A54" s="128"/>
      <c r="C54" s="128"/>
      <c r="E54" s="128"/>
      <c r="G54" s="131"/>
      <c r="I54" s="175"/>
      <c r="J54" s="175"/>
      <c r="K54" s="182"/>
      <c r="L54" s="175"/>
      <c r="M54" s="132"/>
      <c r="N54" s="175"/>
      <c r="O54" s="133"/>
      <c r="P54" s="176"/>
      <c r="Q54" s="177"/>
    </row>
    <row r="55" spans="1:17" s="124" customFormat="1" x14ac:dyDescent="0.2">
      <c r="A55" s="128"/>
      <c r="C55" s="128"/>
      <c r="E55" s="128"/>
      <c r="G55" s="131" t="s">
        <v>235</v>
      </c>
      <c r="I55" s="175"/>
      <c r="J55" s="175"/>
      <c r="K55" s="132">
        <v>0</v>
      </c>
      <c r="L55" s="175"/>
      <c r="M55" s="132">
        <v>759</v>
      </c>
      <c r="N55" s="175"/>
      <c r="O55" s="133">
        <f t="shared" si="0"/>
        <v>-759</v>
      </c>
      <c r="P55" s="176"/>
      <c r="Q55" s="177" t="s">
        <v>379</v>
      </c>
    </row>
    <row r="56" spans="1:17" s="124" customFormat="1" x14ac:dyDescent="0.2">
      <c r="A56" s="128"/>
      <c r="C56" s="128"/>
      <c r="E56" s="128"/>
      <c r="G56" s="131"/>
      <c r="I56" s="175"/>
      <c r="J56" s="175"/>
      <c r="K56" s="182"/>
      <c r="L56" s="175"/>
      <c r="M56" s="132"/>
      <c r="N56" s="175"/>
      <c r="O56" s="133"/>
      <c r="P56" s="176"/>
      <c r="Q56" s="177"/>
    </row>
    <row r="57" spans="1:17" s="124" customFormat="1" x14ac:dyDescent="0.2">
      <c r="A57" s="128"/>
      <c r="C57" s="128"/>
      <c r="E57" s="128"/>
      <c r="G57" s="131" t="s">
        <v>235</v>
      </c>
      <c r="I57" s="175"/>
      <c r="J57" s="175"/>
      <c r="K57" s="132">
        <v>0</v>
      </c>
      <c r="L57" s="175"/>
      <c r="M57" s="132">
        <v>379.5</v>
      </c>
      <c r="N57" s="175"/>
      <c r="O57" s="133">
        <f t="shared" si="0"/>
        <v>-379.5</v>
      </c>
      <c r="P57" s="176"/>
      <c r="Q57" s="177" t="s">
        <v>380</v>
      </c>
    </row>
    <row r="58" spans="1:17" s="124" customFormat="1" x14ac:dyDescent="0.2">
      <c r="A58" s="128"/>
      <c r="C58" s="128"/>
      <c r="E58" s="128"/>
      <c r="G58" s="131"/>
      <c r="I58" s="175"/>
      <c r="J58" s="175"/>
      <c r="K58" s="132"/>
      <c r="L58" s="175"/>
      <c r="M58" s="132"/>
      <c r="N58" s="175"/>
      <c r="O58" s="133"/>
      <c r="P58" s="176"/>
      <c r="Q58" s="177"/>
    </row>
    <row r="59" spans="1:17" s="156" customFormat="1" x14ac:dyDescent="0.2">
      <c r="A59" s="119"/>
      <c r="C59" s="119"/>
      <c r="E59" s="119"/>
      <c r="G59" s="105" t="s">
        <v>235</v>
      </c>
      <c r="I59" s="172"/>
      <c r="J59" s="172"/>
      <c r="K59" s="121">
        <v>0</v>
      </c>
      <c r="L59" s="172"/>
      <c r="M59" s="121">
        <v>379.5</v>
      </c>
      <c r="N59" s="172"/>
      <c r="O59" s="122">
        <f>K59-M59</f>
        <v>-379.5</v>
      </c>
      <c r="P59" s="173"/>
      <c r="Q59" s="174" t="s">
        <v>381</v>
      </c>
    </row>
    <row r="60" spans="1:17" s="156" customFormat="1" x14ac:dyDescent="0.2">
      <c r="A60" s="119"/>
      <c r="C60" s="119"/>
      <c r="E60" s="119"/>
      <c r="G60" s="105"/>
      <c r="I60" s="172"/>
      <c r="J60" s="172"/>
      <c r="K60" s="121"/>
      <c r="L60" s="172"/>
      <c r="M60" s="121"/>
      <c r="N60" s="172"/>
      <c r="O60" s="122"/>
      <c r="P60" s="173"/>
      <c r="Q60" s="174"/>
    </row>
    <row r="61" spans="1:17" s="156" customFormat="1" x14ac:dyDescent="0.2">
      <c r="A61" s="119"/>
      <c r="C61" s="119"/>
      <c r="E61" s="119"/>
      <c r="G61" s="105" t="s">
        <v>235</v>
      </c>
      <c r="I61" s="172"/>
      <c r="J61" s="172"/>
      <c r="K61" s="121">
        <v>0</v>
      </c>
      <c r="L61" s="172"/>
      <c r="M61" s="121">
        <v>379.5</v>
      </c>
      <c r="N61" s="172"/>
      <c r="O61" s="122">
        <f>K61-M61</f>
        <v>-379.5</v>
      </c>
      <c r="P61" s="173"/>
      <c r="Q61" s="174" t="s">
        <v>381</v>
      </c>
    </row>
    <row r="62" spans="1:17" s="124" customFormat="1" x14ac:dyDescent="0.2">
      <c r="A62" s="128"/>
      <c r="C62" s="128"/>
      <c r="E62" s="128"/>
      <c r="G62" s="131"/>
      <c r="I62" s="175"/>
      <c r="J62" s="175"/>
      <c r="K62" s="132"/>
      <c r="L62" s="175"/>
      <c r="M62" s="132"/>
      <c r="N62" s="175"/>
      <c r="O62" s="133"/>
      <c r="P62" s="176"/>
      <c r="Q62" s="177"/>
    </row>
    <row r="63" spans="1:17" x14ac:dyDescent="0.2">
      <c r="G63" s="158" t="s">
        <v>385</v>
      </c>
      <c r="I63" s="73">
        <f>SUM(I47:I62)</f>
        <v>17039000</v>
      </c>
      <c r="J63" s="73"/>
      <c r="K63" s="160">
        <f>SUM(K47:K62)</f>
        <v>404955</v>
      </c>
      <c r="L63" s="73"/>
      <c r="M63" s="160">
        <f>SUM(M47:M62)</f>
        <v>69156.179999999993</v>
      </c>
      <c r="N63" s="73"/>
      <c r="O63" s="160">
        <f>SUM(O47:O62)</f>
        <v>335798.82</v>
      </c>
      <c r="P63" s="70"/>
      <c r="Q63" s="97"/>
    </row>
    <row r="64" spans="1:17" x14ac:dyDescent="0.2">
      <c r="E64" s="127"/>
      <c r="M64" s="114"/>
      <c r="O64" s="78"/>
      <c r="P64" s="70"/>
      <c r="Q64" s="97"/>
    </row>
    <row r="65" spans="2:17" ht="13.5" thickBot="1" x14ac:dyDescent="0.25">
      <c r="B65" s="54"/>
      <c r="D65" s="54"/>
      <c r="F65" s="54"/>
      <c r="G65" s="158" t="s">
        <v>367</v>
      </c>
      <c r="H65" s="54"/>
      <c r="I65" s="80">
        <f>I19+I44+I63</f>
        <v>32688374</v>
      </c>
      <c r="J65" s="181" t="s">
        <v>226</v>
      </c>
      <c r="K65" s="164">
        <f>K19+K44+K63</f>
        <v>625495.25</v>
      </c>
      <c r="L65" s="80" t="s">
        <v>226</v>
      </c>
      <c r="M65" s="164">
        <f>M19+M44+M63</f>
        <v>252771.18</v>
      </c>
      <c r="N65" s="80" t="s">
        <v>226</v>
      </c>
      <c r="O65" s="164">
        <f>O19+O44+O63</f>
        <v>372724.07</v>
      </c>
      <c r="P65" t="s">
        <v>226</v>
      </c>
      <c r="Q65" s="97"/>
    </row>
    <row r="66" spans="2:17" ht="13.5" thickTop="1" x14ac:dyDescent="0.2">
      <c r="E66" s="127"/>
      <c r="O66" s="78"/>
      <c r="P66" s="70"/>
      <c r="Q66" s="97"/>
    </row>
    <row r="67" spans="2:17" x14ac:dyDescent="0.2">
      <c r="E67" s="127"/>
      <c r="I67" s="70"/>
      <c r="O67" s="78"/>
      <c r="P67" s="70"/>
      <c r="Q67" s="97"/>
    </row>
    <row r="68" spans="2:17" x14ac:dyDescent="0.2">
      <c r="E68" s="127"/>
      <c r="I68" s="70"/>
      <c r="O68" s="78"/>
      <c r="P68" s="70"/>
      <c r="Q68" s="97"/>
    </row>
    <row r="69" spans="2:17" x14ac:dyDescent="0.2">
      <c r="E69" s="127"/>
      <c r="O69" s="78"/>
      <c r="P69" s="70"/>
      <c r="Q69" s="97"/>
    </row>
    <row r="70" spans="2:17" x14ac:dyDescent="0.2">
      <c r="E70" s="127"/>
      <c r="O70" s="78"/>
      <c r="P70" s="70"/>
      <c r="Q70" s="97"/>
    </row>
    <row r="71" spans="2:17" x14ac:dyDescent="0.2">
      <c r="E71" s="127"/>
      <c r="O71" s="78"/>
      <c r="P71" s="70"/>
      <c r="Q71" s="97"/>
    </row>
    <row r="72" spans="2:17" x14ac:dyDescent="0.2">
      <c r="E72" s="127"/>
      <c r="I72" s="70"/>
      <c r="O72" s="78"/>
      <c r="P72" s="70"/>
      <c r="Q72" s="97"/>
    </row>
    <row r="73" spans="2:17" x14ac:dyDescent="0.2">
      <c r="E73" s="127"/>
      <c r="I73" s="70"/>
      <c r="O73" s="78"/>
      <c r="P73" s="70"/>
      <c r="Q73" s="97"/>
    </row>
    <row r="74" spans="2:17" x14ac:dyDescent="0.2">
      <c r="E74" s="127"/>
      <c r="I74" s="70"/>
      <c r="O74" s="78"/>
      <c r="P74" s="70"/>
      <c r="Q74" s="97"/>
    </row>
    <row r="75" spans="2:17" x14ac:dyDescent="0.2">
      <c r="E75" s="127"/>
      <c r="I75" s="70"/>
      <c r="O75" s="78"/>
      <c r="P75" s="70"/>
      <c r="Q75" s="97"/>
    </row>
    <row r="76" spans="2:17" x14ac:dyDescent="0.2">
      <c r="E76" s="127"/>
      <c r="I76" s="70"/>
      <c r="O76" s="78"/>
      <c r="P76" s="70"/>
      <c r="Q76" s="97"/>
    </row>
    <row r="77" spans="2:17" x14ac:dyDescent="0.2">
      <c r="E77" s="127"/>
      <c r="I77" s="70"/>
      <c r="O77" s="78"/>
      <c r="P77" s="70"/>
      <c r="Q77" s="97"/>
    </row>
    <row r="78" spans="2:17" x14ac:dyDescent="0.2">
      <c r="E78" s="127"/>
      <c r="I78" s="70"/>
      <c r="O78" s="78"/>
      <c r="P78" s="70"/>
      <c r="Q78" s="97"/>
    </row>
    <row r="79" spans="2:17" x14ac:dyDescent="0.2">
      <c r="E79" s="127"/>
      <c r="I79" s="70"/>
      <c r="O79" s="78"/>
      <c r="P79" s="70"/>
      <c r="Q79" s="97"/>
    </row>
    <row r="80" spans="2:17" x14ac:dyDescent="0.2">
      <c r="E80" s="127"/>
      <c r="I80" s="70"/>
      <c r="O80" s="78"/>
      <c r="P80" s="70"/>
      <c r="Q80" s="97"/>
    </row>
    <row r="81" spans="5:17" x14ac:dyDescent="0.2">
      <c r="E81" s="127"/>
      <c r="I81" s="70"/>
      <c r="O81" s="78"/>
      <c r="P81" s="70"/>
      <c r="Q81" s="97"/>
    </row>
    <row r="82" spans="5:17" x14ac:dyDescent="0.2">
      <c r="E82" s="127"/>
      <c r="I82" s="70"/>
      <c r="O82" s="78"/>
      <c r="P82" s="70"/>
      <c r="Q82" s="97"/>
    </row>
    <row r="83" spans="5:17" x14ac:dyDescent="0.2">
      <c r="E83" s="127"/>
      <c r="I83" s="70"/>
      <c r="O83" s="78"/>
      <c r="P83" s="70"/>
      <c r="Q83" s="97"/>
    </row>
    <row r="84" spans="5:17" x14ac:dyDescent="0.2">
      <c r="E84" s="127"/>
      <c r="I84" s="70"/>
      <c r="O84" s="78"/>
      <c r="P84" s="70"/>
      <c r="Q84" s="97"/>
    </row>
    <row r="85" spans="5:17" x14ac:dyDescent="0.2">
      <c r="E85" s="127"/>
      <c r="I85" s="70"/>
      <c r="O85" s="78"/>
      <c r="P85" s="70"/>
    </row>
    <row r="86" spans="5:17" x14ac:dyDescent="0.2">
      <c r="E86" s="127"/>
      <c r="I86" s="70"/>
      <c r="O86" s="78"/>
      <c r="P86" s="70"/>
    </row>
    <row r="87" spans="5:17" x14ac:dyDescent="0.2">
      <c r="E87" s="127"/>
      <c r="I87" s="70"/>
      <c r="O87" s="78"/>
      <c r="P87" s="70"/>
    </row>
    <row r="88" spans="5:17" x14ac:dyDescent="0.2">
      <c r="E88" s="127"/>
      <c r="I88" s="70"/>
      <c r="O88" s="78"/>
      <c r="P88" s="70"/>
    </row>
    <row r="89" spans="5:17" x14ac:dyDescent="0.2">
      <c r="E89" s="127"/>
      <c r="I89" s="70"/>
      <c r="O89" s="78"/>
      <c r="P89" s="70"/>
    </row>
    <row r="90" spans="5:17" x14ac:dyDescent="0.2">
      <c r="E90" s="127"/>
      <c r="I90" s="70"/>
      <c r="O90" s="78"/>
      <c r="P90" s="70"/>
    </row>
    <row r="91" spans="5:17" x14ac:dyDescent="0.2">
      <c r="E91" s="127"/>
      <c r="I91" s="70"/>
      <c r="O91" s="78"/>
      <c r="P91" s="70"/>
    </row>
    <row r="92" spans="5:17" x14ac:dyDescent="0.2">
      <c r="E92" s="127"/>
      <c r="I92" s="70"/>
      <c r="O92" s="78"/>
      <c r="P92" s="70"/>
    </row>
    <row r="93" spans="5:17" x14ac:dyDescent="0.2">
      <c r="E93" s="127"/>
      <c r="I93" s="70"/>
      <c r="O93" s="78"/>
      <c r="P93" s="70"/>
    </row>
    <row r="94" spans="5:17" x14ac:dyDescent="0.2">
      <c r="E94" s="127"/>
      <c r="I94" s="70"/>
      <c r="O94" s="78"/>
      <c r="P94" s="70"/>
    </row>
    <row r="95" spans="5:17" x14ac:dyDescent="0.2">
      <c r="E95" s="127"/>
      <c r="I95" s="70"/>
      <c r="O95" s="78"/>
      <c r="P95" s="70"/>
    </row>
    <row r="96" spans="5:17" x14ac:dyDescent="0.2">
      <c r="E96" s="127"/>
      <c r="I96" s="70"/>
      <c r="O96" s="78"/>
      <c r="P96" s="70"/>
    </row>
    <row r="97" spans="5:16" x14ac:dyDescent="0.2">
      <c r="E97" s="127"/>
      <c r="I97" s="70"/>
      <c r="O97" s="78"/>
      <c r="P97" s="70"/>
    </row>
    <row r="98" spans="5:16" x14ac:dyDescent="0.2">
      <c r="E98" s="127"/>
      <c r="I98" s="70"/>
      <c r="O98" s="78"/>
      <c r="P98" s="70"/>
    </row>
    <row r="99" spans="5:16" x14ac:dyDescent="0.2">
      <c r="E99" s="127"/>
      <c r="I99" s="70"/>
      <c r="O99" s="78"/>
      <c r="P99" s="70"/>
    </row>
    <row r="100" spans="5:16" x14ac:dyDescent="0.2">
      <c r="E100" s="127"/>
      <c r="I100" s="70"/>
      <c r="O100" s="78"/>
      <c r="P100" s="70"/>
    </row>
    <row r="101" spans="5:16" x14ac:dyDescent="0.2">
      <c r="E101" s="127"/>
      <c r="I101" s="70"/>
      <c r="O101" s="78"/>
      <c r="P101" s="70"/>
    </row>
    <row r="102" spans="5:16" x14ac:dyDescent="0.2">
      <c r="E102" s="127"/>
      <c r="I102" s="70"/>
      <c r="O102" s="78"/>
      <c r="P102" s="70"/>
    </row>
    <row r="103" spans="5:16" x14ac:dyDescent="0.2">
      <c r="E103" s="127"/>
      <c r="I103" s="70"/>
      <c r="O103" s="78"/>
      <c r="P103" s="70"/>
    </row>
    <row r="104" spans="5:16" x14ac:dyDescent="0.2">
      <c r="E104" s="127"/>
      <c r="I104" s="70"/>
      <c r="O104" s="78"/>
      <c r="P104" s="70"/>
    </row>
    <row r="105" spans="5:16" x14ac:dyDescent="0.2">
      <c r="E105" s="127"/>
      <c r="I105" s="70"/>
      <c r="O105" s="78"/>
      <c r="P105" s="70"/>
    </row>
    <row r="106" spans="5:16" x14ac:dyDescent="0.2">
      <c r="E106" s="127"/>
      <c r="I106" s="70"/>
      <c r="O106" s="78"/>
      <c r="P106" s="70"/>
    </row>
    <row r="107" spans="5:16" x14ac:dyDescent="0.2">
      <c r="E107" s="127"/>
      <c r="I107" s="70"/>
      <c r="O107" s="78"/>
      <c r="P107" s="70"/>
    </row>
    <row r="108" spans="5:16" x14ac:dyDescent="0.2">
      <c r="E108" s="127"/>
      <c r="I108" s="70"/>
      <c r="O108" s="78"/>
      <c r="P108" s="70"/>
    </row>
    <row r="109" spans="5:16" x14ac:dyDescent="0.2">
      <c r="E109" s="127"/>
      <c r="I109" s="70"/>
      <c r="O109" s="78"/>
      <c r="P109" s="70"/>
    </row>
    <row r="110" spans="5:16" x14ac:dyDescent="0.2">
      <c r="E110" s="127"/>
      <c r="I110" s="70"/>
      <c r="O110" s="78"/>
      <c r="P110" s="70"/>
    </row>
    <row r="111" spans="5:16" x14ac:dyDescent="0.2">
      <c r="E111" s="127"/>
      <c r="I111" s="70"/>
      <c r="O111" s="78"/>
      <c r="P111" s="70"/>
    </row>
    <row r="112" spans="5:16" x14ac:dyDescent="0.2">
      <c r="E112" s="127"/>
      <c r="I112" s="70"/>
      <c r="O112" s="78"/>
      <c r="P112" s="70"/>
    </row>
    <row r="113" spans="5:16" x14ac:dyDescent="0.2">
      <c r="E113" s="127"/>
      <c r="I113" s="70"/>
      <c r="O113" s="78"/>
      <c r="P113" s="70"/>
    </row>
    <row r="114" spans="5:16" x14ac:dyDescent="0.2">
      <c r="E114" s="127"/>
      <c r="I114" s="70"/>
      <c r="O114" s="78"/>
      <c r="P114" s="70"/>
    </row>
    <row r="115" spans="5:16" x14ac:dyDescent="0.2">
      <c r="E115" s="127"/>
      <c r="I115" s="70"/>
      <c r="O115" s="78"/>
      <c r="P115" s="70"/>
    </row>
    <row r="116" spans="5:16" x14ac:dyDescent="0.2">
      <c r="E116" s="127"/>
      <c r="I116" s="70"/>
      <c r="O116" s="78"/>
      <c r="P116" s="70"/>
    </row>
    <row r="117" spans="5:16" x14ac:dyDescent="0.2">
      <c r="E117" s="127"/>
      <c r="I117" s="70"/>
      <c r="O117" s="78"/>
      <c r="P117" s="70"/>
    </row>
    <row r="118" spans="5:16" x14ac:dyDescent="0.2">
      <c r="E118" s="127"/>
      <c r="I118" s="70"/>
      <c r="O118" s="78"/>
      <c r="P118" s="70"/>
    </row>
    <row r="119" spans="5:16" x14ac:dyDescent="0.2">
      <c r="E119" s="127"/>
      <c r="I119" s="70"/>
      <c r="O119" s="78"/>
      <c r="P119" s="70"/>
    </row>
    <row r="120" spans="5:16" x14ac:dyDescent="0.2">
      <c r="E120" s="127"/>
      <c r="I120" s="70"/>
      <c r="O120" s="78"/>
      <c r="P120" s="70"/>
    </row>
    <row r="121" spans="5:16" x14ac:dyDescent="0.2">
      <c r="E121" s="127"/>
      <c r="I121" s="70"/>
      <c r="O121" s="78"/>
      <c r="P121" s="70"/>
    </row>
    <row r="122" spans="5:16" x14ac:dyDescent="0.2">
      <c r="E122" s="127"/>
      <c r="I122" s="70"/>
      <c r="O122" s="78"/>
      <c r="P122" s="70"/>
    </row>
    <row r="123" spans="5:16" x14ac:dyDescent="0.2">
      <c r="E123" s="127"/>
      <c r="I123" s="70"/>
      <c r="O123" s="78"/>
      <c r="P123" s="70"/>
    </row>
    <row r="124" spans="5:16" x14ac:dyDescent="0.2">
      <c r="E124" s="127"/>
      <c r="I124" s="70"/>
      <c r="O124" s="78"/>
      <c r="P124" s="70"/>
    </row>
    <row r="125" spans="5:16" x14ac:dyDescent="0.2">
      <c r="E125" s="127"/>
      <c r="I125" s="70"/>
      <c r="O125" s="78"/>
      <c r="P125" s="70"/>
    </row>
    <row r="126" spans="5:16" x14ac:dyDescent="0.2">
      <c r="E126" s="127"/>
      <c r="I126" s="70"/>
      <c r="O126" s="78"/>
      <c r="P126" s="70"/>
    </row>
    <row r="127" spans="5:16" x14ac:dyDescent="0.2">
      <c r="E127" s="127"/>
      <c r="I127" s="70"/>
      <c r="O127" s="78"/>
      <c r="P127" s="70"/>
    </row>
    <row r="128" spans="5:16" x14ac:dyDescent="0.2">
      <c r="E128" s="127"/>
      <c r="I128" s="70"/>
      <c r="O128" s="78"/>
      <c r="P128" s="70"/>
    </row>
    <row r="129" spans="5:16" x14ac:dyDescent="0.2">
      <c r="E129" s="127"/>
      <c r="I129" s="70"/>
      <c r="O129" s="78"/>
      <c r="P129" s="70"/>
    </row>
    <row r="130" spans="5:16" x14ac:dyDescent="0.2">
      <c r="E130" s="127"/>
      <c r="I130" s="70"/>
      <c r="O130" s="78"/>
      <c r="P130" s="70"/>
    </row>
    <row r="131" spans="5:16" x14ac:dyDescent="0.2">
      <c r="E131" s="127"/>
      <c r="I131" s="70"/>
      <c r="O131" s="78"/>
      <c r="P131" s="70"/>
    </row>
    <row r="132" spans="5:16" x14ac:dyDescent="0.2">
      <c r="E132" s="127"/>
      <c r="I132" s="70"/>
      <c r="O132" s="78"/>
      <c r="P132" s="70"/>
    </row>
    <row r="133" spans="5:16" x14ac:dyDescent="0.2">
      <c r="E133" s="127"/>
      <c r="I133" s="70"/>
      <c r="O133" s="78"/>
      <c r="P133" s="70"/>
    </row>
    <row r="134" spans="5:16" x14ac:dyDescent="0.2">
      <c r="E134" s="127"/>
      <c r="I134" s="70"/>
      <c r="O134" s="78"/>
      <c r="P134" s="70"/>
    </row>
    <row r="135" spans="5:16" x14ac:dyDescent="0.2">
      <c r="E135" s="127"/>
      <c r="I135" s="70"/>
      <c r="O135" s="78"/>
      <c r="P135" s="70"/>
    </row>
    <row r="136" spans="5:16" x14ac:dyDescent="0.2">
      <c r="E136" s="127"/>
      <c r="I136" s="70"/>
      <c r="O136" s="78"/>
      <c r="P136" s="70"/>
    </row>
    <row r="137" spans="5:16" x14ac:dyDescent="0.2">
      <c r="E137" s="127"/>
      <c r="I137" s="70"/>
      <c r="O137" s="78"/>
      <c r="P137" s="70"/>
    </row>
    <row r="138" spans="5:16" x14ac:dyDescent="0.2">
      <c r="E138" s="127"/>
      <c r="I138" s="70"/>
      <c r="O138" s="78"/>
      <c r="P138" s="70"/>
    </row>
    <row r="139" spans="5:16" x14ac:dyDescent="0.2">
      <c r="E139" s="127"/>
      <c r="I139" s="70"/>
      <c r="O139" s="78"/>
      <c r="P139" s="70"/>
    </row>
    <row r="140" spans="5:16" x14ac:dyDescent="0.2">
      <c r="E140" s="127"/>
      <c r="I140" s="70"/>
      <c r="O140" s="78"/>
      <c r="P140" s="70"/>
    </row>
    <row r="141" spans="5:16" x14ac:dyDescent="0.2">
      <c r="E141" s="127"/>
      <c r="I141" s="70"/>
      <c r="O141" s="78"/>
      <c r="P141" s="70"/>
    </row>
    <row r="142" spans="5:16" x14ac:dyDescent="0.2">
      <c r="E142" s="127"/>
      <c r="I142" s="70"/>
      <c r="O142" s="78"/>
      <c r="P142" s="70"/>
    </row>
    <row r="143" spans="5:16" x14ac:dyDescent="0.2">
      <c r="E143" s="127"/>
      <c r="I143" s="70"/>
      <c r="O143" s="78"/>
      <c r="P143" s="70"/>
    </row>
    <row r="144" spans="5:16" x14ac:dyDescent="0.2">
      <c r="E144" s="127"/>
      <c r="I144" s="70"/>
      <c r="O144" s="78"/>
      <c r="P144" s="70"/>
    </row>
    <row r="145" spans="5:16" x14ac:dyDescent="0.2">
      <c r="E145" s="127"/>
      <c r="I145" s="70"/>
      <c r="O145" s="78"/>
      <c r="P145" s="70"/>
    </row>
    <row r="146" spans="5:16" x14ac:dyDescent="0.2">
      <c r="E146" s="127"/>
      <c r="I146" s="70"/>
      <c r="O146" s="78"/>
      <c r="P146" s="70"/>
    </row>
    <row r="147" spans="5:16" x14ac:dyDescent="0.2">
      <c r="E147" s="127"/>
      <c r="I147" s="70"/>
      <c r="O147" s="78"/>
      <c r="P147" s="70"/>
    </row>
    <row r="148" spans="5:16" x14ac:dyDescent="0.2">
      <c r="E148" s="127"/>
      <c r="I148" s="70"/>
      <c r="O148" s="78"/>
      <c r="P148" s="70"/>
    </row>
    <row r="149" spans="5:16" x14ac:dyDescent="0.2">
      <c r="E149" s="127"/>
      <c r="I149" s="70"/>
      <c r="O149" s="78"/>
      <c r="P149" s="70"/>
    </row>
    <row r="150" spans="5:16" x14ac:dyDescent="0.2">
      <c r="E150" s="127"/>
      <c r="I150" s="70"/>
      <c r="O150" s="78"/>
      <c r="P150" s="70"/>
    </row>
    <row r="151" spans="5:16" x14ac:dyDescent="0.2">
      <c r="E151" s="127"/>
      <c r="I151" s="70"/>
      <c r="O151" s="78"/>
      <c r="P151" s="70"/>
    </row>
    <row r="152" spans="5:16" x14ac:dyDescent="0.2">
      <c r="E152" s="127"/>
      <c r="I152" s="70"/>
      <c r="O152" s="78"/>
      <c r="P152" s="70"/>
    </row>
    <row r="153" spans="5:16" x14ac:dyDescent="0.2">
      <c r="E153" s="127"/>
      <c r="I153" s="70"/>
      <c r="O153" s="78"/>
      <c r="P153" s="70"/>
    </row>
    <row r="154" spans="5:16" x14ac:dyDescent="0.2">
      <c r="E154" s="127"/>
      <c r="I154" s="70"/>
      <c r="O154" s="78"/>
      <c r="P154" s="70"/>
    </row>
    <row r="155" spans="5:16" x14ac:dyDescent="0.2">
      <c r="E155" s="127"/>
      <c r="I155" s="70"/>
      <c r="O155" s="78"/>
      <c r="P155" s="70"/>
    </row>
    <row r="156" spans="5:16" x14ac:dyDescent="0.2">
      <c r="E156" s="127"/>
      <c r="I156" s="70"/>
      <c r="O156" s="78"/>
      <c r="P156" s="70"/>
    </row>
    <row r="157" spans="5:16" x14ac:dyDescent="0.2">
      <c r="E157" s="127"/>
      <c r="I157" s="70"/>
      <c r="O157" s="78"/>
      <c r="P157" s="70"/>
    </row>
    <row r="158" spans="5:16" x14ac:dyDescent="0.2">
      <c r="E158" s="127"/>
      <c r="I158" s="70"/>
      <c r="O158" s="78"/>
      <c r="P158" s="70"/>
    </row>
    <row r="159" spans="5:16" x14ac:dyDescent="0.2">
      <c r="E159" s="127"/>
      <c r="I159" s="70"/>
      <c r="O159" s="78"/>
      <c r="P159" s="70"/>
    </row>
    <row r="160" spans="5:16" x14ac:dyDescent="0.2">
      <c r="E160" s="127"/>
      <c r="I160" s="70"/>
      <c r="O160" s="78"/>
      <c r="P160" s="70"/>
    </row>
    <row r="161" spans="5:16" x14ac:dyDescent="0.2">
      <c r="E161" s="127"/>
      <c r="I161" s="70"/>
      <c r="O161" s="78"/>
      <c r="P161" s="70"/>
    </row>
    <row r="162" spans="5:16" x14ac:dyDescent="0.2">
      <c r="E162" s="127"/>
      <c r="I162" s="70"/>
      <c r="O162" s="78"/>
      <c r="P162" s="70"/>
    </row>
    <row r="163" spans="5:16" x14ac:dyDescent="0.2">
      <c r="E163" s="127"/>
      <c r="I163" s="70"/>
      <c r="O163" s="78"/>
      <c r="P163" s="70"/>
    </row>
    <row r="164" spans="5:16" x14ac:dyDescent="0.2">
      <c r="E164" s="127"/>
      <c r="I164" s="70"/>
      <c r="O164" s="78"/>
      <c r="P164" s="70"/>
    </row>
    <row r="165" spans="5:16" x14ac:dyDescent="0.2">
      <c r="E165" s="127"/>
      <c r="I165" s="70"/>
      <c r="O165" s="78"/>
      <c r="P165" s="70"/>
    </row>
    <row r="166" spans="5:16" x14ac:dyDescent="0.2">
      <c r="E166" s="127"/>
      <c r="I166" s="70"/>
      <c r="O166" s="78"/>
      <c r="P166" s="70"/>
    </row>
    <row r="167" spans="5:16" x14ac:dyDescent="0.2">
      <c r="E167" s="127"/>
      <c r="I167" s="70"/>
      <c r="O167" s="78"/>
      <c r="P167" s="70"/>
    </row>
    <row r="168" spans="5:16" x14ac:dyDescent="0.2">
      <c r="E168" s="127"/>
      <c r="I168" s="70"/>
      <c r="O168" s="78"/>
      <c r="P168" s="70"/>
    </row>
    <row r="169" spans="5:16" x14ac:dyDescent="0.2">
      <c r="E169" s="127"/>
      <c r="I169" s="70"/>
      <c r="O169" s="78"/>
      <c r="P169" s="70"/>
    </row>
    <row r="170" spans="5:16" x14ac:dyDescent="0.2">
      <c r="E170" s="127"/>
      <c r="I170" s="70"/>
      <c r="O170" s="78"/>
      <c r="P170" s="70"/>
    </row>
    <row r="171" spans="5:16" x14ac:dyDescent="0.2">
      <c r="E171" s="127"/>
      <c r="I171" s="70"/>
      <c r="O171" s="78"/>
      <c r="P171" s="70"/>
    </row>
    <row r="172" spans="5:16" x14ac:dyDescent="0.2">
      <c r="E172" s="127"/>
      <c r="I172" s="70"/>
      <c r="O172" s="78"/>
      <c r="P172" s="70"/>
    </row>
    <row r="173" spans="5:16" x14ac:dyDescent="0.2">
      <c r="E173" s="127"/>
      <c r="I173" s="70"/>
      <c r="O173" s="78"/>
      <c r="P173" s="70"/>
    </row>
    <row r="174" spans="5:16" x14ac:dyDescent="0.2">
      <c r="E174" s="127"/>
      <c r="I174" s="70"/>
      <c r="O174" s="78"/>
      <c r="P174" s="70"/>
    </row>
    <row r="175" spans="5:16" x14ac:dyDescent="0.2">
      <c r="E175" s="127"/>
      <c r="I175" s="70"/>
      <c r="O175" s="78"/>
      <c r="P175" s="70"/>
    </row>
    <row r="176" spans="5:16" x14ac:dyDescent="0.2">
      <c r="E176" s="127"/>
      <c r="I176" s="70"/>
      <c r="O176" s="78"/>
      <c r="P176" s="70"/>
    </row>
    <row r="177" spans="5:16" x14ac:dyDescent="0.2">
      <c r="E177" s="127"/>
      <c r="I177" s="70"/>
      <c r="O177" s="78"/>
      <c r="P177" s="70"/>
    </row>
    <row r="178" spans="5:16" x14ac:dyDescent="0.2">
      <c r="E178" s="127"/>
      <c r="I178" s="70"/>
      <c r="O178" s="78"/>
      <c r="P178" s="70"/>
    </row>
    <row r="179" spans="5:16" x14ac:dyDescent="0.2">
      <c r="E179" s="127"/>
      <c r="I179" s="70"/>
      <c r="O179" s="78"/>
      <c r="P179" s="70"/>
    </row>
    <row r="180" spans="5:16" x14ac:dyDescent="0.2">
      <c r="E180" s="127"/>
      <c r="I180" s="70"/>
      <c r="O180" s="78"/>
      <c r="P180" s="70"/>
    </row>
    <row r="181" spans="5:16" x14ac:dyDescent="0.2">
      <c r="E181" s="127"/>
      <c r="I181" s="70"/>
      <c r="O181" s="78"/>
      <c r="P181" s="70"/>
    </row>
    <row r="182" spans="5:16" x14ac:dyDescent="0.2">
      <c r="E182" s="127"/>
      <c r="I182" s="70"/>
      <c r="O182" s="78"/>
      <c r="P182" s="70"/>
    </row>
    <row r="183" spans="5:16" x14ac:dyDescent="0.2">
      <c r="E183" s="127"/>
      <c r="I183" s="70"/>
      <c r="O183" s="78"/>
      <c r="P183" s="70"/>
    </row>
    <row r="184" spans="5:16" x14ac:dyDescent="0.2">
      <c r="E184" s="127"/>
      <c r="I184" s="70"/>
      <c r="O184" s="78"/>
      <c r="P184" s="70"/>
    </row>
    <row r="185" spans="5:16" x14ac:dyDescent="0.2">
      <c r="E185" s="127"/>
      <c r="I185" s="70"/>
      <c r="O185" s="78"/>
      <c r="P185" s="70"/>
    </row>
    <row r="186" spans="5:16" x14ac:dyDescent="0.2">
      <c r="E186" s="127"/>
      <c r="I186" s="70"/>
      <c r="O186" s="78"/>
      <c r="P186" s="70"/>
    </row>
    <row r="187" spans="5:16" x14ac:dyDescent="0.2">
      <c r="E187" s="127"/>
      <c r="I187" s="70"/>
      <c r="O187" s="78"/>
      <c r="P187" s="70"/>
    </row>
    <row r="188" spans="5:16" x14ac:dyDescent="0.2">
      <c r="E188" s="127"/>
      <c r="I188" s="70"/>
      <c r="O188" s="78"/>
      <c r="P188" s="70"/>
    </row>
    <row r="189" spans="5:16" x14ac:dyDescent="0.2">
      <c r="E189" s="127"/>
      <c r="I189" s="70"/>
      <c r="O189" s="78"/>
      <c r="P189" s="70"/>
    </row>
    <row r="190" spans="5:16" x14ac:dyDescent="0.2">
      <c r="E190" s="127"/>
      <c r="I190" s="70"/>
      <c r="O190" s="78"/>
      <c r="P190" s="70"/>
    </row>
    <row r="191" spans="5:16" x14ac:dyDescent="0.2">
      <c r="E191" s="127"/>
      <c r="I191" s="70"/>
      <c r="O191" s="78"/>
      <c r="P191" s="70"/>
    </row>
    <row r="192" spans="5:16" x14ac:dyDescent="0.2">
      <c r="E192" s="127"/>
      <c r="I192" s="70"/>
      <c r="O192" s="78"/>
      <c r="P192" s="70"/>
    </row>
    <row r="193" spans="5:16" x14ac:dyDescent="0.2">
      <c r="E193" s="127"/>
      <c r="I193" s="70"/>
      <c r="O193" s="78"/>
      <c r="P193" s="70"/>
    </row>
    <row r="194" spans="5:16" x14ac:dyDescent="0.2">
      <c r="E194" s="127"/>
      <c r="I194" s="70"/>
      <c r="O194" s="78"/>
      <c r="P194" s="70"/>
    </row>
    <row r="195" spans="5:16" x14ac:dyDescent="0.2">
      <c r="E195" s="127"/>
      <c r="I195" s="70"/>
      <c r="O195" s="78"/>
      <c r="P195" s="70"/>
    </row>
    <row r="196" spans="5:16" x14ac:dyDescent="0.2">
      <c r="E196" s="127"/>
      <c r="I196" s="70"/>
      <c r="O196" s="78"/>
      <c r="P196" s="70"/>
    </row>
    <row r="197" spans="5:16" x14ac:dyDescent="0.2">
      <c r="E197" s="127"/>
      <c r="I197" s="70"/>
      <c r="O197" s="78"/>
      <c r="P197" s="70"/>
    </row>
    <row r="198" spans="5:16" x14ac:dyDescent="0.2">
      <c r="E198" s="127"/>
      <c r="I198" s="70"/>
      <c r="O198" s="78"/>
      <c r="P198" s="70"/>
    </row>
    <row r="199" spans="5:16" x14ac:dyDescent="0.2">
      <c r="E199" s="127"/>
      <c r="I199" s="70"/>
      <c r="O199" s="78"/>
      <c r="P199" s="70"/>
    </row>
    <row r="200" spans="5:16" x14ac:dyDescent="0.2">
      <c r="E200" s="127"/>
      <c r="I200" s="70"/>
      <c r="O200" s="78"/>
      <c r="P200" s="70"/>
    </row>
    <row r="201" spans="5:16" x14ac:dyDescent="0.2">
      <c r="E201" s="127"/>
      <c r="I201" s="70"/>
      <c r="O201" s="78"/>
      <c r="P201" s="70"/>
    </row>
    <row r="202" spans="5:16" x14ac:dyDescent="0.2">
      <c r="E202" s="127"/>
      <c r="I202" s="70"/>
      <c r="O202" s="78"/>
      <c r="P202" s="70"/>
    </row>
    <row r="203" spans="5:16" x14ac:dyDescent="0.2">
      <c r="E203" s="127"/>
      <c r="I203" s="70"/>
      <c r="O203" s="78"/>
      <c r="P203" s="70"/>
    </row>
    <row r="204" spans="5:16" x14ac:dyDescent="0.2">
      <c r="E204" s="127"/>
      <c r="I204" s="70"/>
      <c r="O204" s="78"/>
      <c r="P204" s="70"/>
    </row>
    <row r="205" spans="5:16" x14ac:dyDescent="0.2">
      <c r="E205" s="127"/>
      <c r="I205" s="70"/>
      <c r="O205" s="78"/>
      <c r="P205" s="70"/>
    </row>
    <row r="206" spans="5:16" x14ac:dyDescent="0.2">
      <c r="E206" s="127"/>
      <c r="I206" s="70"/>
      <c r="O206" s="78"/>
      <c r="P206" s="70"/>
    </row>
    <row r="207" spans="5:16" x14ac:dyDescent="0.2">
      <c r="E207" s="127"/>
      <c r="I207" s="70"/>
      <c r="O207" s="78"/>
      <c r="P207" s="70"/>
    </row>
    <row r="208" spans="5:16" x14ac:dyDescent="0.2">
      <c r="E208" s="127"/>
      <c r="I208" s="70"/>
      <c r="O208" s="78"/>
      <c r="P208" s="70"/>
    </row>
    <row r="209" spans="5:16" x14ac:dyDescent="0.2">
      <c r="E209" s="127"/>
      <c r="I209" s="70"/>
      <c r="O209" s="78"/>
      <c r="P209" s="70"/>
    </row>
    <row r="210" spans="5:16" x14ac:dyDescent="0.2">
      <c r="E210" s="127"/>
      <c r="I210" s="70"/>
      <c r="O210" s="78"/>
      <c r="P210" s="70"/>
    </row>
    <row r="211" spans="5:16" x14ac:dyDescent="0.2">
      <c r="E211" s="127"/>
      <c r="I211" s="70"/>
      <c r="O211" s="78"/>
      <c r="P211" s="70"/>
    </row>
    <row r="212" spans="5:16" x14ac:dyDescent="0.2">
      <c r="E212" s="127"/>
      <c r="I212" s="70"/>
      <c r="O212" s="78"/>
      <c r="P212" s="70"/>
    </row>
    <row r="213" spans="5:16" x14ac:dyDescent="0.2">
      <c r="E213" s="127"/>
      <c r="I213" s="70"/>
      <c r="O213" s="78"/>
      <c r="P213" s="70"/>
    </row>
    <row r="214" spans="5:16" x14ac:dyDescent="0.2">
      <c r="E214" s="127"/>
      <c r="I214" s="70"/>
      <c r="O214" s="78"/>
      <c r="P214" s="70"/>
    </row>
    <row r="215" spans="5:16" x14ac:dyDescent="0.2">
      <c r="E215" s="127"/>
      <c r="I215" s="70"/>
      <c r="O215" s="78"/>
      <c r="P215" s="70"/>
    </row>
    <row r="216" spans="5:16" x14ac:dyDescent="0.2">
      <c r="E216" s="127"/>
      <c r="I216" s="70"/>
      <c r="O216" s="78"/>
      <c r="P216" s="70"/>
    </row>
    <row r="217" spans="5:16" x14ac:dyDescent="0.2">
      <c r="E217" s="127"/>
      <c r="I217" s="70"/>
      <c r="O217" s="78"/>
      <c r="P217" s="70"/>
    </row>
    <row r="218" spans="5:16" x14ac:dyDescent="0.2">
      <c r="E218" s="127"/>
      <c r="I218" s="70"/>
      <c r="O218" s="78"/>
      <c r="P218" s="70"/>
    </row>
    <row r="219" spans="5:16" x14ac:dyDescent="0.2">
      <c r="E219" s="127"/>
      <c r="I219" s="70"/>
      <c r="O219" s="78"/>
      <c r="P219" s="70"/>
    </row>
    <row r="220" spans="5:16" x14ac:dyDescent="0.2">
      <c r="E220" s="127"/>
      <c r="I220" s="70"/>
      <c r="O220" s="78"/>
      <c r="P220" s="70"/>
    </row>
    <row r="221" spans="5:16" x14ac:dyDescent="0.2">
      <c r="E221" s="127"/>
      <c r="I221" s="70"/>
      <c r="O221" s="78"/>
      <c r="P221" s="70"/>
    </row>
    <row r="222" spans="5:16" x14ac:dyDescent="0.2">
      <c r="E222" s="127"/>
      <c r="I222" s="70"/>
      <c r="O222" s="78"/>
      <c r="P222" s="70"/>
    </row>
    <row r="223" spans="5:16" x14ac:dyDescent="0.2">
      <c r="E223" s="127"/>
      <c r="I223" s="70"/>
      <c r="O223" s="78"/>
      <c r="P223" s="70"/>
    </row>
    <row r="224" spans="5:16" x14ac:dyDescent="0.2">
      <c r="E224" s="127"/>
      <c r="I224" s="70"/>
      <c r="O224" s="78"/>
      <c r="P224" s="70"/>
    </row>
    <row r="225" spans="5:16" x14ac:dyDescent="0.2">
      <c r="E225" s="127"/>
      <c r="I225" s="70"/>
      <c r="O225" s="78"/>
      <c r="P225" s="70"/>
    </row>
    <row r="226" spans="5:16" x14ac:dyDescent="0.2">
      <c r="E226" s="127"/>
      <c r="I226" s="70"/>
      <c r="O226" s="78"/>
      <c r="P226" s="70"/>
    </row>
    <row r="227" spans="5:16" x14ac:dyDescent="0.2">
      <c r="E227" s="127"/>
      <c r="I227" s="70"/>
      <c r="O227" s="78"/>
      <c r="P227" s="70"/>
    </row>
    <row r="228" spans="5:16" x14ac:dyDescent="0.2">
      <c r="E228" s="127"/>
      <c r="I228" s="70"/>
      <c r="O228" s="78"/>
      <c r="P228" s="70"/>
    </row>
    <row r="229" spans="5:16" x14ac:dyDescent="0.2">
      <c r="E229" s="127"/>
      <c r="I229" s="70"/>
      <c r="O229" s="78"/>
      <c r="P229" s="70"/>
    </row>
    <row r="230" spans="5:16" x14ac:dyDescent="0.2">
      <c r="E230" s="127"/>
      <c r="I230" s="70"/>
      <c r="O230" s="78"/>
      <c r="P230" s="70"/>
    </row>
    <row r="231" spans="5:16" x14ac:dyDescent="0.2">
      <c r="E231" s="127"/>
      <c r="I231" s="70"/>
      <c r="O231" s="78"/>
      <c r="P231" s="70"/>
    </row>
    <row r="232" spans="5:16" x14ac:dyDescent="0.2">
      <c r="E232" s="127"/>
      <c r="I232" s="70"/>
      <c r="O232" s="78"/>
      <c r="P232" s="70"/>
    </row>
    <row r="233" spans="5:16" x14ac:dyDescent="0.2">
      <c r="E233" s="127"/>
      <c r="I233" s="70"/>
      <c r="O233" s="78"/>
      <c r="P233" s="70"/>
    </row>
    <row r="234" spans="5:16" x14ac:dyDescent="0.2">
      <c r="E234" s="127"/>
      <c r="I234" s="70"/>
      <c r="O234" s="78"/>
      <c r="P234" s="70"/>
    </row>
    <row r="235" spans="5:16" x14ac:dyDescent="0.2">
      <c r="E235" s="127"/>
      <c r="I235" s="70"/>
      <c r="O235" s="78"/>
      <c r="P235" s="70"/>
    </row>
    <row r="236" spans="5:16" x14ac:dyDescent="0.2">
      <c r="E236" s="127"/>
      <c r="I236" s="70"/>
      <c r="O236" s="78"/>
      <c r="P236" s="70"/>
    </row>
    <row r="237" spans="5:16" x14ac:dyDescent="0.2">
      <c r="E237" s="127"/>
      <c r="I237" s="70"/>
      <c r="O237" s="78"/>
      <c r="P237" s="70"/>
    </row>
    <row r="238" spans="5:16" x14ac:dyDescent="0.2">
      <c r="E238" s="127"/>
      <c r="I238" s="70"/>
      <c r="O238" s="78"/>
      <c r="P238" s="70"/>
    </row>
    <row r="239" spans="5:16" x14ac:dyDescent="0.2">
      <c r="E239" s="127"/>
      <c r="I239" s="70"/>
      <c r="O239" s="78"/>
      <c r="P239" s="70"/>
    </row>
    <row r="240" spans="5:16" x14ac:dyDescent="0.2">
      <c r="E240" s="127"/>
      <c r="I240" s="70"/>
      <c r="O240" s="78"/>
      <c r="P240" s="70"/>
    </row>
    <row r="241" spans="5:16" x14ac:dyDescent="0.2">
      <c r="E241" s="127"/>
      <c r="I241" s="70"/>
      <c r="O241" s="78"/>
      <c r="P241" s="70"/>
    </row>
    <row r="242" spans="5:16" x14ac:dyDescent="0.2">
      <c r="E242" s="127"/>
      <c r="I242" s="70"/>
      <c r="O242" s="78"/>
      <c r="P242" s="70"/>
    </row>
    <row r="243" spans="5:16" x14ac:dyDescent="0.2">
      <c r="E243" s="127"/>
      <c r="I243" s="70"/>
      <c r="O243" s="78"/>
      <c r="P243" s="70"/>
    </row>
    <row r="244" spans="5:16" x14ac:dyDescent="0.2">
      <c r="E244" s="127"/>
      <c r="I244" s="70"/>
      <c r="O244" s="78"/>
      <c r="P244" s="70"/>
    </row>
    <row r="245" spans="5:16" x14ac:dyDescent="0.2">
      <c r="E245" s="127"/>
      <c r="I245" s="70"/>
      <c r="O245" s="78"/>
      <c r="P245" s="70"/>
    </row>
    <row r="246" spans="5:16" x14ac:dyDescent="0.2">
      <c r="E246" s="127"/>
      <c r="I246" s="70"/>
      <c r="O246" s="78"/>
      <c r="P246" s="70"/>
    </row>
    <row r="247" spans="5:16" x14ac:dyDescent="0.2">
      <c r="E247" s="127"/>
      <c r="I247" s="70"/>
      <c r="O247" s="78"/>
      <c r="P247" s="70"/>
    </row>
    <row r="248" spans="5:16" x14ac:dyDescent="0.2">
      <c r="E248" s="127"/>
      <c r="I248" s="70"/>
      <c r="O248" s="78"/>
      <c r="P248" s="70"/>
    </row>
    <row r="249" spans="5:16" x14ac:dyDescent="0.2">
      <c r="E249" s="127"/>
      <c r="I249" s="70"/>
      <c r="O249" s="78"/>
      <c r="P249" s="70"/>
    </row>
    <row r="250" spans="5:16" x14ac:dyDescent="0.2">
      <c r="E250" s="127"/>
      <c r="I250" s="70"/>
      <c r="O250" s="78"/>
      <c r="P250" s="70"/>
    </row>
    <row r="251" spans="5:16" x14ac:dyDescent="0.2">
      <c r="E251" s="127"/>
      <c r="I251" s="70"/>
      <c r="O251" s="78"/>
      <c r="P251" s="70"/>
    </row>
    <row r="252" spans="5:16" x14ac:dyDescent="0.2">
      <c r="E252" s="127"/>
    </row>
    <row r="253" spans="5:16" x14ac:dyDescent="0.2">
      <c r="E253" s="127"/>
    </row>
    <row r="254" spans="5:16" x14ac:dyDescent="0.2">
      <c r="E254" s="127"/>
    </row>
    <row r="255" spans="5:16" x14ac:dyDescent="0.2">
      <c r="E255" s="127"/>
    </row>
    <row r="256" spans="5:16" x14ac:dyDescent="0.2">
      <c r="E256" s="127"/>
    </row>
    <row r="257" spans="5:5" x14ac:dyDescent="0.2">
      <c r="E257" s="127"/>
    </row>
    <row r="258" spans="5:5" x14ac:dyDescent="0.2">
      <c r="E258" s="127"/>
    </row>
    <row r="259" spans="5:5" x14ac:dyDescent="0.2">
      <c r="E259" s="127"/>
    </row>
    <row r="260" spans="5:5" x14ac:dyDescent="0.2">
      <c r="E260" s="127"/>
    </row>
    <row r="261" spans="5:5" x14ac:dyDescent="0.2">
      <c r="E261" s="127"/>
    </row>
    <row r="262" spans="5:5" x14ac:dyDescent="0.2">
      <c r="E262" s="127"/>
    </row>
    <row r="263" spans="5:5" x14ac:dyDescent="0.2">
      <c r="E263" s="127"/>
    </row>
    <row r="264" spans="5:5" x14ac:dyDescent="0.2">
      <c r="E264" s="127"/>
    </row>
    <row r="265" spans="5:5" x14ac:dyDescent="0.2">
      <c r="E265" s="127"/>
    </row>
    <row r="266" spans="5:5" x14ac:dyDescent="0.2">
      <c r="E266" s="127"/>
    </row>
    <row r="267" spans="5:5" x14ac:dyDescent="0.2">
      <c r="E267" s="127"/>
    </row>
    <row r="268" spans="5:5" x14ac:dyDescent="0.2">
      <c r="E268" s="127"/>
    </row>
    <row r="269" spans="5:5" x14ac:dyDescent="0.2">
      <c r="E269" s="127"/>
    </row>
    <row r="270" spans="5:5" x14ac:dyDescent="0.2">
      <c r="E270" s="127"/>
    </row>
    <row r="271" spans="5:5" x14ac:dyDescent="0.2">
      <c r="E271" s="127"/>
    </row>
    <row r="272" spans="5:5" x14ac:dyDescent="0.2">
      <c r="E272" s="127"/>
    </row>
    <row r="273" spans="5:5" x14ac:dyDescent="0.2">
      <c r="E273" s="127"/>
    </row>
    <row r="274" spans="5:5" x14ac:dyDescent="0.2">
      <c r="E274" s="127"/>
    </row>
    <row r="275" spans="5:5" x14ac:dyDescent="0.2">
      <c r="E275" s="127"/>
    </row>
    <row r="276" spans="5:5" x14ac:dyDescent="0.2">
      <c r="E276" s="127"/>
    </row>
  </sheetData>
  <mergeCells count="1">
    <mergeCell ref="A1:Q1"/>
  </mergeCells>
  <phoneticPr fontId="0" type="noConversion"/>
  <printOptions horizontalCentered="1"/>
  <pageMargins left="0.75" right="0.75" top="1" bottom="1" header="0.5" footer="0.5"/>
  <pageSetup scale="55" orientation="landscape" r:id="rId1"/>
  <headerFooter alignWithMargins="0">
    <oddFooter>&amp;L&amp;D       &amp;T       &amp;A&amp;RO:\TransAcctgptg\Susan\Mexico\2001 Reporting\Originations\&amp;F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218"/>
  <sheetViews>
    <sheetView showGridLines="0" topLeftCell="K1" workbookViewId="0">
      <pane ySplit="4" topLeftCell="A169" activePane="bottomLeft" state="frozenSplit"/>
      <selection pane="bottomLeft" activeCell="Q148" sqref="Q148:Q180"/>
    </sheetView>
  </sheetViews>
  <sheetFormatPr defaultColWidth="11.7109375" defaultRowHeight="12.75" outlineLevelCol="1" x14ac:dyDescent="0.2"/>
  <cols>
    <col min="1" max="1" width="9.140625" style="91" customWidth="1"/>
    <col min="2" max="2" width="20.140625" style="91" bestFit="1" customWidth="1"/>
    <col min="3" max="3" width="10.42578125" style="92" customWidth="1"/>
    <col min="4" max="4" width="26.42578125" style="41" customWidth="1"/>
    <col min="5" max="5" width="14.7109375" style="41" customWidth="1"/>
    <col min="6" max="6" width="14.28515625" style="41" customWidth="1" collapsed="1"/>
    <col min="7" max="7" width="14.28515625" style="91" customWidth="1"/>
    <col min="8" max="8" width="15.5703125" style="41" customWidth="1"/>
    <col min="9" max="9" width="15.5703125" style="93" customWidth="1"/>
    <col min="10" max="10" width="15.5703125" style="140" customWidth="1"/>
    <col min="11" max="11" width="9.28515625" style="104" customWidth="1" collapsed="1"/>
    <col min="12" max="12" width="14.7109375" style="96" customWidth="1"/>
    <col min="13" max="13" width="8" style="97" customWidth="1"/>
    <col min="14" max="14" width="11.85546875" style="93" customWidth="1" collapsed="1"/>
    <col min="15" max="15" width="11.85546875" style="141" customWidth="1"/>
    <col min="16" max="16" width="14.7109375" style="108" customWidth="1" outlineLevel="1"/>
    <col min="17" max="17" width="15.85546875" style="166" customWidth="1" outlineLevel="1"/>
    <col min="18" max="18" width="9.28515625" style="41" hidden="1" customWidth="1"/>
    <col min="19" max="20" width="11.7109375" style="143" customWidth="1"/>
    <col min="21" max="21" width="11.7109375" style="41" hidden="1" customWidth="1"/>
    <col min="22" max="22" width="13.28515625" style="142" customWidth="1"/>
    <col min="23" max="23" width="16.140625" style="144" customWidth="1"/>
    <col min="24" max="24" width="11.7109375" style="144" customWidth="1"/>
    <col min="25" max="25" width="11.7109375" style="41" hidden="1" customWidth="1" collapsed="1"/>
    <col min="26" max="26" width="11.7109375" style="41" hidden="1" customWidth="1"/>
    <col min="27" max="28" width="11.7109375" style="41" customWidth="1"/>
    <col min="29" max="29" width="11.7109375" style="91" customWidth="1"/>
    <col min="30" max="30" width="15" style="41" customWidth="1"/>
    <col min="31" max="16384" width="11.7109375" style="41"/>
  </cols>
  <sheetData>
    <row r="1" spans="1:30" s="22" customFormat="1" ht="32.25" thickBot="1" x14ac:dyDescent="0.25">
      <c r="A1" s="22" t="s">
        <v>41</v>
      </c>
      <c r="B1" s="22" t="s">
        <v>190</v>
      </c>
      <c r="C1" s="21" t="s">
        <v>0</v>
      </c>
      <c r="D1" s="22" t="s">
        <v>1</v>
      </c>
      <c r="E1" s="22" t="s">
        <v>2</v>
      </c>
      <c r="F1" s="22" t="s">
        <v>3</v>
      </c>
      <c r="G1" s="22" t="s">
        <v>323</v>
      </c>
      <c r="H1" s="22" t="s">
        <v>4</v>
      </c>
      <c r="I1" s="25" t="s">
        <v>195</v>
      </c>
      <c r="J1" s="135" t="s">
        <v>196</v>
      </c>
      <c r="K1" s="63" t="s">
        <v>5</v>
      </c>
      <c r="L1" s="23" t="s">
        <v>6</v>
      </c>
      <c r="M1" s="24" t="s">
        <v>7</v>
      </c>
      <c r="N1" s="25" t="s">
        <v>28</v>
      </c>
      <c r="O1" s="136" t="s">
        <v>184</v>
      </c>
      <c r="P1" s="107" t="s">
        <v>324</v>
      </c>
      <c r="Q1" s="165" t="s">
        <v>325</v>
      </c>
      <c r="S1" s="137" t="s">
        <v>36</v>
      </c>
      <c r="T1" s="137" t="s">
        <v>37</v>
      </c>
      <c r="V1" s="138" t="s">
        <v>38</v>
      </c>
      <c r="W1" s="139" t="s">
        <v>39</v>
      </c>
      <c r="X1" s="139" t="s">
        <v>40</v>
      </c>
      <c r="AA1" s="22" t="s">
        <v>63</v>
      </c>
      <c r="AB1" s="22" t="s">
        <v>199</v>
      </c>
      <c r="AC1" s="22" t="s">
        <v>200</v>
      </c>
      <c r="AD1" s="22" t="s">
        <v>293</v>
      </c>
    </row>
    <row r="2" spans="1:30" x14ac:dyDescent="0.2">
      <c r="K2" s="95"/>
      <c r="N2" s="98"/>
    </row>
    <row r="3" spans="1:30" s="34" customFormat="1" ht="15.75" x14ac:dyDescent="0.25">
      <c r="A3" s="32" t="s">
        <v>129</v>
      </c>
      <c r="B3" s="32"/>
      <c r="C3" s="33"/>
      <c r="G3" s="32"/>
      <c r="I3" s="35"/>
      <c r="J3" s="145"/>
      <c r="K3" s="64"/>
      <c r="L3" s="44">
        <f>SUM(L6:L8821)/1000000-SUM(L105:L116)/1000000+SUM(L105:L116)/1000000*6.28</f>
        <v>34.981237999999998</v>
      </c>
      <c r="M3" s="37" t="s">
        <v>188</v>
      </c>
      <c r="N3" s="35"/>
      <c r="O3" s="146">
        <f>SUM(O6:O8821)/1000</f>
        <v>147996.60158500003</v>
      </c>
      <c r="P3" s="109"/>
      <c r="Q3" s="167">
        <f>SUM(Q6:Q8821)</f>
        <v>626695.25</v>
      </c>
      <c r="S3" s="147"/>
      <c r="T3" s="147"/>
      <c r="V3" s="148"/>
      <c r="W3" s="149"/>
      <c r="X3" s="149"/>
      <c r="AC3" s="32"/>
    </row>
    <row r="4" spans="1:30" x14ac:dyDescent="0.2">
      <c r="K4" s="95"/>
      <c r="N4" s="98"/>
      <c r="O4" s="141" t="s">
        <v>294</v>
      </c>
      <c r="Q4" s="168" t="s">
        <v>295</v>
      </c>
    </row>
    <row r="5" spans="1:30" s="3" customFormat="1" ht="15.75" x14ac:dyDescent="0.25">
      <c r="C5" s="2"/>
      <c r="I5" s="4"/>
      <c r="J5" s="150"/>
      <c r="K5" s="65"/>
      <c r="L5" s="11"/>
      <c r="M5" s="7"/>
      <c r="N5" s="4"/>
      <c r="O5" s="151"/>
      <c r="P5" s="110"/>
      <c r="Q5" s="169"/>
      <c r="S5" s="153"/>
      <c r="T5" s="153"/>
      <c r="V5" s="152"/>
      <c r="W5" s="154"/>
      <c r="X5" s="154"/>
    </row>
    <row r="6" spans="1:30" x14ac:dyDescent="0.2">
      <c r="A6" s="91">
        <v>1</v>
      </c>
      <c r="B6" s="91" t="s">
        <v>326</v>
      </c>
      <c r="C6" s="92">
        <v>36896</v>
      </c>
      <c r="D6" s="41" t="s">
        <v>136</v>
      </c>
      <c r="E6" s="41" t="s">
        <v>14</v>
      </c>
      <c r="F6" s="41" t="s">
        <v>347</v>
      </c>
      <c r="G6" s="91" t="s">
        <v>327</v>
      </c>
      <c r="H6" s="41" t="s">
        <v>112</v>
      </c>
      <c r="I6" s="93">
        <v>0.22500000000000001</v>
      </c>
      <c r="J6" s="140">
        <f t="shared" ref="J6:J11" si="0">+I6*L6</f>
        <v>13500</v>
      </c>
      <c r="K6" s="95">
        <v>36951</v>
      </c>
      <c r="L6" s="96">
        <v>60000</v>
      </c>
      <c r="M6" s="97" t="s">
        <v>25</v>
      </c>
      <c r="N6" s="98">
        <v>7</v>
      </c>
      <c r="O6" s="141">
        <f t="shared" ref="O6:O11" si="1">L6*N6</f>
        <v>420000</v>
      </c>
      <c r="P6" s="108">
        <v>5.0000000000000001E-3</v>
      </c>
      <c r="Q6" s="166">
        <f t="shared" ref="Q6:Q11" si="2">P6*L6</f>
        <v>300</v>
      </c>
      <c r="S6" s="143">
        <f t="shared" ref="S6:S11" si="3">VLOOKUP(K6,Prices,HLOOKUP(F6,Column,2))</f>
        <v>4.7450000000000001</v>
      </c>
      <c r="T6" s="143">
        <f>IF(S6=0,VLOOKUP(K6,FWD_Prices,HLOOKUP(F6,Column,2)),0)</f>
        <v>0</v>
      </c>
      <c r="V6" s="142">
        <f t="shared" ref="V6:V11" si="4">IF(H6="Swap",S6-N6,IF(H6="Call",MAX(S6-N6,0),IF(H6="Put",MAX(N6-S6,0),"Error on Structure")))
* IF(G6="Buy",1,IF(G6="Sell",-1,"Error on Buy/Sell"))
* L6
* IF(S6=0,0,1)</f>
        <v>0</v>
      </c>
      <c r="W6" s="142">
        <f t="shared" ref="W6:W11" si="5">IF(H6="Swap",T6-N6,IF(H6="Call",MAX(T6-N6,0),IF(H6="Put",MAX(N6-T6,0),"Error on Structure")))
* IF(G6="Buy",1,IF(G6="Sell",-1,"Error on Buy/Sell"))
* L6
* IF(T6=0,0,1)</f>
        <v>0</v>
      </c>
      <c r="X6" s="144">
        <f t="shared" ref="X6:X11" si="6">SUM(V6:W6)</f>
        <v>0</v>
      </c>
      <c r="AA6" s="41" t="s">
        <v>206</v>
      </c>
      <c r="AC6" s="91" t="s">
        <v>202</v>
      </c>
      <c r="AD6" s="41" t="s">
        <v>296</v>
      </c>
    </row>
    <row r="7" spans="1:30" x14ac:dyDescent="0.2">
      <c r="A7" s="91">
        <v>1</v>
      </c>
      <c r="B7" s="91" t="s">
        <v>326</v>
      </c>
      <c r="C7" s="92">
        <v>36896</v>
      </c>
      <c r="D7" s="41" t="s">
        <v>136</v>
      </c>
      <c r="E7" s="41" t="s">
        <v>14</v>
      </c>
      <c r="F7" s="41" t="s">
        <v>347</v>
      </c>
      <c r="G7" s="91" t="s">
        <v>327</v>
      </c>
      <c r="H7" s="41" t="s">
        <v>112</v>
      </c>
      <c r="I7" s="93">
        <v>0.22500000000000001</v>
      </c>
      <c r="J7" s="140">
        <f t="shared" si="0"/>
        <v>13500</v>
      </c>
      <c r="K7" s="95">
        <v>36982</v>
      </c>
      <c r="L7" s="96">
        <v>60000</v>
      </c>
      <c r="M7" s="97" t="s">
        <v>25</v>
      </c>
      <c r="N7" s="98">
        <v>7</v>
      </c>
      <c r="O7" s="141">
        <f t="shared" si="1"/>
        <v>420000</v>
      </c>
      <c r="P7" s="108">
        <v>5.0000000000000001E-3</v>
      </c>
      <c r="Q7" s="166">
        <f t="shared" si="2"/>
        <v>300</v>
      </c>
      <c r="S7" s="143">
        <f t="shared" si="3"/>
        <v>0</v>
      </c>
      <c r="T7" s="143">
        <f t="shared" ref="T7:T27" si="7">IF(S7=0,VLOOKUP(K7,FWD_Prices,HLOOKUP(F7,Column,2)),0)</f>
        <v>0</v>
      </c>
      <c r="V7" s="142">
        <f t="shared" si="4"/>
        <v>0</v>
      </c>
      <c r="W7" s="142">
        <f t="shared" si="5"/>
        <v>0</v>
      </c>
      <c r="X7" s="144">
        <f t="shared" si="6"/>
        <v>0</v>
      </c>
      <c r="AA7" s="41" t="s">
        <v>206</v>
      </c>
      <c r="AC7" s="91" t="s">
        <v>202</v>
      </c>
      <c r="AD7" s="41" t="s">
        <v>296</v>
      </c>
    </row>
    <row r="8" spans="1:30" x14ac:dyDescent="0.2">
      <c r="A8" s="91">
        <v>1</v>
      </c>
      <c r="B8" s="91" t="s">
        <v>326</v>
      </c>
      <c r="C8" s="92">
        <v>36896</v>
      </c>
      <c r="D8" s="41" t="s">
        <v>136</v>
      </c>
      <c r="E8" s="41" t="s">
        <v>14</v>
      </c>
      <c r="F8" s="41" t="s">
        <v>347</v>
      </c>
      <c r="G8" s="91" t="s">
        <v>327</v>
      </c>
      <c r="H8" s="41" t="s">
        <v>112</v>
      </c>
      <c r="I8" s="93">
        <v>0.22500000000000001</v>
      </c>
      <c r="J8" s="140">
        <f t="shared" si="0"/>
        <v>13500</v>
      </c>
      <c r="K8" s="95">
        <v>37012</v>
      </c>
      <c r="L8" s="96">
        <v>60000</v>
      </c>
      <c r="M8" s="97" t="s">
        <v>25</v>
      </c>
      <c r="N8" s="98">
        <v>7</v>
      </c>
      <c r="O8" s="141">
        <f t="shared" si="1"/>
        <v>420000</v>
      </c>
      <c r="P8" s="108">
        <v>5.0000000000000001E-3</v>
      </c>
      <c r="Q8" s="166">
        <f t="shared" si="2"/>
        <v>300</v>
      </c>
      <c r="S8" s="143">
        <f t="shared" si="3"/>
        <v>0</v>
      </c>
      <c r="T8" s="143">
        <f t="shared" si="7"/>
        <v>0</v>
      </c>
      <c r="V8" s="142">
        <f t="shared" si="4"/>
        <v>0</v>
      </c>
      <c r="W8" s="142">
        <f t="shared" si="5"/>
        <v>0</v>
      </c>
      <c r="X8" s="144">
        <f t="shared" si="6"/>
        <v>0</v>
      </c>
      <c r="AA8" s="41" t="s">
        <v>206</v>
      </c>
      <c r="AC8" s="91" t="s">
        <v>202</v>
      </c>
      <c r="AD8" s="41" t="s">
        <v>296</v>
      </c>
    </row>
    <row r="9" spans="1:30" x14ac:dyDescent="0.2">
      <c r="A9" s="91">
        <v>1</v>
      </c>
      <c r="B9" s="91" t="s">
        <v>328</v>
      </c>
      <c r="C9" s="92">
        <v>36896</v>
      </c>
      <c r="D9" s="41" t="s">
        <v>136</v>
      </c>
      <c r="E9" s="41" t="s">
        <v>14</v>
      </c>
      <c r="F9" s="41" t="s">
        <v>347</v>
      </c>
      <c r="G9" s="91" t="s">
        <v>329</v>
      </c>
      <c r="H9" s="41" t="s">
        <v>330</v>
      </c>
      <c r="I9" s="93">
        <v>0</v>
      </c>
      <c r="J9" s="140">
        <f t="shared" si="0"/>
        <v>0</v>
      </c>
      <c r="K9" s="95">
        <v>36951</v>
      </c>
      <c r="L9" s="96">
        <v>60000</v>
      </c>
      <c r="M9" s="97" t="s">
        <v>25</v>
      </c>
      <c r="N9" s="98">
        <v>6</v>
      </c>
      <c r="O9" s="141">
        <f t="shared" si="1"/>
        <v>360000</v>
      </c>
      <c r="P9" s="108">
        <v>0</v>
      </c>
      <c r="Q9" s="166">
        <f t="shared" si="2"/>
        <v>0</v>
      </c>
      <c r="S9" s="143">
        <f t="shared" si="3"/>
        <v>4.7450000000000001</v>
      </c>
      <c r="T9" s="143">
        <f t="shared" si="7"/>
        <v>0</v>
      </c>
      <c r="V9" s="142">
        <f t="shared" si="4"/>
        <v>75300</v>
      </c>
      <c r="W9" s="142">
        <f t="shared" si="5"/>
        <v>0</v>
      </c>
      <c r="X9" s="144">
        <f t="shared" si="6"/>
        <v>75300</v>
      </c>
      <c r="AA9" s="41" t="s">
        <v>206</v>
      </c>
      <c r="AC9" s="91" t="s">
        <v>202</v>
      </c>
      <c r="AD9" s="41" t="s">
        <v>296</v>
      </c>
    </row>
    <row r="10" spans="1:30" x14ac:dyDescent="0.2">
      <c r="A10" s="91">
        <v>1</v>
      </c>
      <c r="B10" s="91" t="s">
        <v>328</v>
      </c>
      <c r="C10" s="92">
        <v>36896</v>
      </c>
      <c r="D10" s="41" t="s">
        <v>136</v>
      </c>
      <c r="E10" s="41" t="s">
        <v>14</v>
      </c>
      <c r="F10" s="41" t="s">
        <v>347</v>
      </c>
      <c r="G10" s="91" t="s">
        <v>329</v>
      </c>
      <c r="H10" s="41" t="s">
        <v>330</v>
      </c>
      <c r="I10" s="93">
        <v>0</v>
      </c>
      <c r="J10" s="140">
        <f t="shared" si="0"/>
        <v>0</v>
      </c>
      <c r="K10" s="95">
        <v>36982</v>
      </c>
      <c r="L10" s="96">
        <v>60000</v>
      </c>
      <c r="M10" s="97" t="s">
        <v>25</v>
      </c>
      <c r="N10" s="98">
        <v>6</v>
      </c>
      <c r="O10" s="141">
        <f t="shared" si="1"/>
        <v>360000</v>
      </c>
      <c r="P10" s="108">
        <v>0</v>
      </c>
      <c r="Q10" s="166">
        <f t="shared" si="2"/>
        <v>0</v>
      </c>
      <c r="S10" s="143">
        <f t="shared" si="3"/>
        <v>0</v>
      </c>
      <c r="T10" s="143">
        <f t="shared" si="7"/>
        <v>0</v>
      </c>
      <c r="V10" s="142">
        <f t="shared" si="4"/>
        <v>0</v>
      </c>
      <c r="W10" s="142">
        <f t="shared" si="5"/>
        <v>0</v>
      </c>
      <c r="X10" s="144">
        <f t="shared" si="6"/>
        <v>0</v>
      </c>
      <c r="AA10" s="41" t="s">
        <v>206</v>
      </c>
      <c r="AC10" s="91" t="s">
        <v>202</v>
      </c>
      <c r="AD10" s="41" t="s">
        <v>296</v>
      </c>
    </row>
    <row r="11" spans="1:30" x14ac:dyDescent="0.2">
      <c r="A11" s="91">
        <v>1</v>
      </c>
      <c r="B11" s="91" t="s">
        <v>328</v>
      </c>
      <c r="C11" s="92">
        <v>36896</v>
      </c>
      <c r="D11" s="41" t="s">
        <v>136</v>
      </c>
      <c r="E11" s="41" t="s">
        <v>14</v>
      </c>
      <c r="F11" s="41" t="s">
        <v>347</v>
      </c>
      <c r="G11" s="91" t="s">
        <v>329</v>
      </c>
      <c r="H11" s="41" t="s">
        <v>330</v>
      </c>
      <c r="I11" s="93">
        <v>0</v>
      </c>
      <c r="J11" s="140">
        <f t="shared" si="0"/>
        <v>0</v>
      </c>
      <c r="K11" s="95">
        <v>37012</v>
      </c>
      <c r="L11" s="96">
        <v>60000</v>
      </c>
      <c r="M11" s="97" t="s">
        <v>25</v>
      </c>
      <c r="N11" s="98">
        <v>6</v>
      </c>
      <c r="O11" s="141">
        <f t="shared" si="1"/>
        <v>360000</v>
      </c>
      <c r="P11" s="108">
        <v>0</v>
      </c>
      <c r="Q11" s="166">
        <f t="shared" si="2"/>
        <v>0</v>
      </c>
      <c r="S11" s="143">
        <f t="shared" si="3"/>
        <v>0</v>
      </c>
      <c r="T11" s="143">
        <f t="shared" si="7"/>
        <v>0</v>
      </c>
      <c r="V11" s="142">
        <f t="shared" si="4"/>
        <v>0</v>
      </c>
      <c r="W11" s="142">
        <f t="shared" si="5"/>
        <v>0</v>
      </c>
      <c r="X11" s="144">
        <f t="shared" si="6"/>
        <v>0</v>
      </c>
      <c r="AA11" s="41" t="s">
        <v>206</v>
      </c>
      <c r="AC11" s="91" t="s">
        <v>202</v>
      </c>
      <c r="AD11" s="41" t="s">
        <v>296</v>
      </c>
    </row>
    <row r="13" spans="1:30" x14ac:dyDescent="0.2">
      <c r="A13" s="91">
        <v>2</v>
      </c>
      <c r="B13" s="91" t="s">
        <v>331</v>
      </c>
      <c r="C13" s="92">
        <v>36901</v>
      </c>
      <c r="D13" s="41" t="s">
        <v>332</v>
      </c>
      <c r="E13" s="41" t="s">
        <v>14</v>
      </c>
      <c r="F13" s="41" t="s">
        <v>347</v>
      </c>
      <c r="G13" s="91" t="s">
        <v>327</v>
      </c>
      <c r="H13" s="41" t="s">
        <v>330</v>
      </c>
      <c r="I13" s="93">
        <v>0.04</v>
      </c>
      <c r="J13" s="140">
        <f>+I13*L13</f>
        <v>2400</v>
      </c>
      <c r="K13" s="95">
        <v>36923</v>
      </c>
      <c r="L13" s="96">
        <v>60000</v>
      </c>
      <c r="M13" s="97" t="s">
        <v>25</v>
      </c>
      <c r="N13" s="98">
        <v>4.5199999999999996</v>
      </c>
      <c r="O13" s="141">
        <f>L13*N13</f>
        <v>271200</v>
      </c>
      <c r="P13" s="108">
        <v>1.4999999999999999E-2</v>
      </c>
      <c r="Q13" s="166">
        <f>P13*L13</f>
        <v>900</v>
      </c>
      <c r="S13" s="143">
        <f>VLOOKUP(K13,Prices,HLOOKUP(F13,Column,2))</f>
        <v>5.8449999999999998</v>
      </c>
      <c r="T13" s="143">
        <f t="shared" si="7"/>
        <v>0</v>
      </c>
      <c r="V13" s="142">
        <f>IF(H13="Swap",S13-N13,IF(H13="Call",MAX(S13-N13,0),IF(H13="Put",MAX(N13-S13,0),"Error on Structure")))
* IF(G13="Buy",1,IF(G13="Sell",-1,"Error on Buy/Sell"))
* L13
* IF(S13=0,0,1)</f>
        <v>0</v>
      </c>
      <c r="W13" s="142">
        <f>IF(H13="Swap",T13-N13,IF(H13="Call",MAX(T13-N13,0),IF(H13="Put",MAX(N13-T13,0),"Error on Structure")))
* IF(G13="Buy",1,IF(G13="Sell",-1,"Error on Buy/Sell"))
* L13
* IF(T13=0,0,1)</f>
        <v>0</v>
      </c>
      <c r="X13" s="144">
        <f>SUM(V13:W13)</f>
        <v>0</v>
      </c>
      <c r="AA13" s="41" t="s">
        <v>208</v>
      </c>
    </row>
    <row r="14" spans="1:30" x14ac:dyDescent="0.2">
      <c r="A14" s="91">
        <v>2</v>
      </c>
      <c r="B14" s="91" t="s">
        <v>331</v>
      </c>
      <c r="C14" s="92">
        <v>36901</v>
      </c>
      <c r="D14" s="41" t="s">
        <v>332</v>
      </c>
      <c r="E14" s="41" t="s">
        <v>14</v>
      </c>
      <c r="F14" s="41" t="s">
        <v>347</v>
      </c>
      <c r="G14" s="91" t="s">
        <v>327</v>
      </c>
      <c r="H14" s="41" t="s">
        <v>330</v>
      </c>
      <c r="I14" s="93">
        <v>0.04</v>
      </c>
      <c r="J14" s="140">
        <f>+I14*L14</f>
        <v>2400</v>
      </c>
      <c r="K14" s="95">
        <v>36951</v>
      </c>
      <c r="L14" s="96">
        <v>60000</v>
      </c>
      <c r="M14" s="97" t="s">
        <v>25</v>
      </c>
      <c r="N14" s="98">
        <v>4.5199999999999996</v>
      </c>
      <c r="O14" s="141">
        <f>L14*N14</f>
        <v>271200</v>
      </c>
      <c r="P14" s="108">
        <v>1.4999999999999999E-2</v>
      </c>
      <c r="Q14" s="166">
        <f>P14*L14</f>
        <v>900</v>
      </c>
      <c r="S14" s="143">
        <f t="shared" ref="S14:S27" si="8">VLOOKUP(K14,Prices,HLOOKUP(F14,Column,2))</f>
        <v>4.7450000000000001</v>
      </c>
      <c r="T14" s="143">
        <f t="shared" si="7"/>
        <v>0</v>
      </c>
      <c r="V14" s="142">
        <f>IF(H14="Swap",S14-N14,IF(H14="Call",MAX(S14-N14,0),IF(H14="Put",MAX(N14-S14,0),"Error on Structure")))
* IF(G14="Buy",1,IF(G14="Sell",-1,"Error on Buy/Sell"))
* L14
* IF(S14=0,0,1)</f>
        <v>0</v>
      </c>
      <c r="W14" s="142">
        <f>IF(H14="Swap",T14-N14,IF(H14="Call",MAX(T14-N14,0),IF(H14="Put",MAX(N14-T14,0),"Error on Structure")))
* IF(G14="Buy",1,IF(G14="Sell",-1,"Error on Buy/Sell"))
* L14
* IF(T14=0,0,1)</f>
        <v>0</v>
      </c>
      <c r="X14" s="144">
        <f>SUM(V14:W14)</f>
        <v>0</v>
      </c>
      <c r="AA14" s="41" t="s">
        <v>208</v>
      </c>
    </row>
    <row r="15" spans="1:30" x14ac:dyDescent="0.2">
      <c r="A15" s="91">
        <v>2</v>
      </c>
      <c r="B15" s="91" t="s">
        <v>331</v>
      </c>
      <c r="C15" s="92">
        <v>36901</v>
      </c>
      <c r="D15" s="41" t="s">
        <v>332</v>
      </c>
      <c r="E15" s="41" t="s">
        <v>14</v>
      </c>
      <c r="F15" s="41" t="s">
        <v>347</v>
      </c>
      <c r="G15" s="91" t="s">
        <v>327</v>
      </c>
      <c r="H15" s="41" t="s">
        <v>330</v>
      </c>
      <c r="I15" s="93">
        <v>0.04</v>
      </c>
      <c r="J15" s="140">
        <f>+I15*L15</f>
        <v>2400</v>
      </c>
      <c r="K15" s="95">
        <v>36982</v>
      </c>
      <c r="L15" s="96">
        <v>60000</v>
      </c>
      <c r="M15" s="97" t="s">
        <v>25</v>
      </c>
      <c r="N15" s="98">
        <v>4.5199999999999996</v>
      </c>
      <c r="O15" s="141">
        <f>L15*N15</f>
        <v>271200</v>
      </c>
      <c r="P15" s="108">
        <v>1.4999999999999999E-2</v>
      </c>
      <c r="Q15" s="166">
        <f>P15*L15</f>
        <v>900</v>
      </c>
      <c r="S15" s="143">
        <f t="shared" si="8"/>
        <v>0</v>
      </c>
      <c r="T15" s="143">
        <f t="shared" si="7"/>
        <v>0</v>
      </c>
      <c r="V15" s="142">
        <f>IF(H15="Swap",S15-N15,IF(H15="Call",MAX(S15-N15,0),IF(H15="Put",MAX(N15-S15,0),"Error on Structure")))
* IF(G15="Buy",1,IF(G15="Sell",-1,"Error on Buy/Sell"))
* L15
* IF(S15=0,0,1)</f>
        <v>0</v>
      </c>
      <c r="W15" s="142">
        <f>IF(H15="Swap",T15-N15,IF(H15="Call",MAX(T15-N15,0),IF(H15="Put",MAX(N15-T15,0),"Error on Structure")))
* IF(G15="Buy",1,IF(G15="Sell",-1,"Error on Buy/Sell"))
* L15
* IF(T15=0,0,1)</f>
        <v>0</v>
      </c>
      <c r="X15" s="144">
        <f>SUM(V15:W15)</f>
        <v>0</v>
      </c>
      <c r="AA15" s="41" t="s">
        <v>208</v>
      </c>
    </row>
    <row r="17" spans="1:27" x14ac:dyDescent="0.2">
      <c r="A17" s="91">
        <v>3</v>
      </c>
      <c r="B17" s="91" t="s">
        <v>348</v>
      </c>
      <c r="C17" s="92">
        <v>36910</v>
      </c>
      <c r="D17" s="41" t="s">
        <v>333</v>
      </c>
      <c r="E17" s="41" t="s">
        <v>14</v>
      </c>
      <c r="F17" s="41" t="s">
        <v>347</v>
      </c>
      <c r="G17" s="91" t="s">
        <v>329</v>
      </c>
      <c r="H17" s="41" t="s">
        <v>334</v>
      </c>
      <c r="I17" s="93">
        <v>0</v>
      </c>
      <c r="J17" s="140">
        <f>+I17*L17</f>
        <v>0</v>
      </c>
      <c r="K17" s="95">
        <v>36923</v>
      </c>
      <c r="L17" s="96">
        <v>280000</v>
      </c>
      <c r="M17" s="97" t="s">
        <v>25</v>
      </c>
      <c r="N17" s="98">
        <v>6.95</v>
      </c>
      <c r="O17" s="141">
        <f>L17*N17</f>
        <v>1946000</v>
      </c>
      <c r="P17" s="108">
        <v>4.2500000000000003E-2</v>
      </c>
      <c r="Q17" s="166">
        <f>P17*L17</f>
        <v>11900</v>
      </c>
      <c r="S17" s="143">
        <f t="shared" si="8"/>
        <v>5.8449999999999998</v>
      </c>
      <c r="T17" s="143">
        <f t="shared" si="7"/>
        <v>0</v>
      </c>
      <c r="V17" s="142">
        <f>IF(H17="Swap",S17-N17,IF(H17="Call",MAX(S17-N17,0),IF(H17="Put",MAX(N17-S17,0),"Error on Structure")))
* IF(G17="Buy",1,IF(G17="Sell",-1,"Error on Buy/Sell"))
* L17
* IF(S17=0,0,1)</f>
        <v>-309400.00000000012</v>
      </c>
      <c r="W17" s="142">
        <f>IF(H17="Swap",T17-N17,IF(H17="Call",MAX(T17-N17,0),IF(H17="Put",MAX(N17-T17,0),"Error on Structure")))
* IF(G17="Buy",1,IF(G17="Sell",-1,"Error on Buy/Sell"))
* L17
* IF(T17=0,0,1)</f>
        <v>0</v>
      </c>
      <c r="X17" s="144">
        <f>SUM(V17:W17)</f>
        <v>-309400.00000000012</v>
      </c>
      <c r="AA17" s="41" t="s">
        <v>180</v>
      </c>
    </row>
    <row r="18" spans="1:27" x14ac:dyDescent="0.2">
      <c r="A18" s="91">
        <v>3</v>
      </c>
      <c r="B18" s="91" t="s">
        <v>348</v>
      </c>
      <c r="C18" s="92">
        <v>36910</v>
      </c>
      <c r="D18" s="41" t="s">
        <v>333</v>
      </c>
      <c r="E18" s="41" t="s">
        <v>14</v>
      </c>
      <c r="F18" s="41" t="s">
        <v>347</v>
      </c>
      <c r="G18" s="91" t="s">
        <v>329</v>
      </c>
      <c r="H18" s="41" t="s">
        <v>334</v>
      </c>
      <c r="I18" s="93">
        <v>0</v>
      </c>
      <c r="J18" s="140">
        <f t="shared" ref="J18:J24" si="9">+I18*L18</f>
        <v>0</v>
      </c>
      <c r="K18" s="95">
        <v>36951</v>
      </c>
      <c r="L18" s="96">
        <v>280000</v>
      </c>
      <c r="M18" s="97" t="s">
        <v>25</v>
      </c>
      <c r="N18" s="98">
        <v>6.95</v>
      </c>
      <c r="O18" s="141">
        <f t="shared" ref="O18:O24" si="10">L18*N18</f>
        <v>1946000</v>
      </c>
      <c r="P18" s="108">
        <v>4.2500000000000003E-2</v>
      </c>
      <c r="Q18" s="166">
        <f t="shared" ref="Q18:Q24" si="11">P18*L18</f>
        <v>11900</v>
      </c>
      <c r="S18" s="143">
        <f t="shared" si="8"/>
        <v>4.7450000000000001</v>
      </c>
      <c r="T18" s="143">
        <f t="shared" si="7"/>
        <v>0</v>
      </c>
      <c r="V18" s="142">
        <f t="shared" ref="V18:V24" si="12">IF(H18="Swap",S18-N18,IF(H18="Call",MAX(S18-N18,0),IF(H18="Put",MAX(N18-S18,0),"Error on Structure")))
* IF(G18="Buy",1,IF(G18="Sell",-1,"Error on Buy/Sell"))
* L18
* IF(S18=0,0,1)</f>
        <v>-617400</v>
      </c>
      <c r="W18" s="142">
        <f t="shared" ref="W18:W24" si="13">IF(H18="Swap",T18-N18,IF(H18="Call",MAX(T18-N18,0),IF(H18="Put",MAX(N18-T18,0),"Error on Structure")))
* IF(G18="Buy",1,IF(G18="Sell",-1,"Error on Buy/Sell"))
* L18
* IF(T18=0,0,1)</f>
        <v>0</v>
      </c>
      <c r="X18" s="144">
        <f t="shared" ref="X18:X24" si="14">SUM(V18:W18)</f>
        <v>-617400</v>
      </c>
      <c r="AA18" s="41" t="s">
        <v>180</v>
      </c>
    </row>
    <row r="19" spans="1:27" x14ac:dyDescent="0.2">
      <c r="A19" s="91">
        <v>3</v>
      </c>
      <c r="B19" s="91" t="s">
        <v>348</v>
      </c>
      <c r="C19" s="92">
        <v>36910</v>
      </c>
      <c r="D19" s="41" t="s">
        <v>333</v>
      </c>
      <c r="E19" s="41" t="s">
        <v>14</v>
      </c>
      <c r="F19" s="41" t="s">
        <v>347</v>
      </c>
      <c r="G19" s="91" t="s">
        <v>329</v>
      </c>
      <c r="H19" s="41" t="s">
        <v>334</v>
      </c>
      <c r="I19" s="93">
        <v>0</v>
      </c>
      <c r="J19" s="140">
        <f t="shared" si="9"/>
        <v>0</v>
      </c>
      <c r="K19" s="95">
        <v>36982</v>
      </c>
      <c r="L19" s="96">
        <v>80000</v>
      </c>
      <c r="M19" s="97" t="s">
        <v>25</v>
      </c>
      <c r="N19" s="98">
        <v>5.5949999999999998</v>
      </c>
      <c r="O19" s="141">
        <f t="shared" si="10"/>
        <v>447600</v>
      </c>
      <c r="P19" s="108">
        <v>1.4999999999999999E-2</v>
      </c>
      <c r="Q19" s="166">
        <f t="shared" si="11"/>
        <v>1200</v>
      </c>
      <c r="S19" s="143">
        <f t="shared" si="8"/>
        <v>0</v>
      </c>
      <c r="T19" s="143">
        <f t="shared" si="7"/>
        <v>0</v>
      </c>
      <c r="V19" s="142">
        <f t="shared" si="12"/>
        <v>0</v>
      </c>
      <c r="W19" s="142">
        <f t="shared" si="13"/>
        <v>0</v>
      </c>
      <c r="X19" s="144">
        <f t="shared" si="14"/>
        <v>0</v>
      </c>
      <c r="AA19" s="41" t="s">
        <v>180</v>
      </c>
    </row>
    <row r="20" spans="1:27" x14ac:dyDescent="0.2">
      <c r="A20" s="91">
        <v>3</v>
      </c>
      <c r="B20" s="91" t="s">
        <v>348</v>
      </c>
      <c r="C20" s="92">
        <v>36910</v>
      </c>
      <c r="D20" s="41" t="s">
        <v>333</v>
      </c>
      <c r="E20" s="41" t="s">
        <v>14</v>
      </c>
      <c r="F20" s="41" t="s">
        <v>347</v>
      </c>
      <c r="G20" s="91" t="s">
        <v>329</v>
      </c>
      <c r="H20" s="41" t="s">
        <v>334</v>
      </c>
      <c r="I20" s="93">
        <v>0</v>
      </c>
      <c r="J20" s="140">
        <f t="shared" si="9"/>
        <v>0</v>
      </c>
      <c r="K20" s="95">
        <v>37012</v>
      </c>
      <c r="L20" s="96">
        <v>80000</v>
      </c>
      <c r="M20" s="97" t="s">
        <v>25</v>
      </c>
      <c r="N20" s="98">
        <v>5.5949999999999998</v>
      </c>
      <c r="O20" s="141">
        <f t="shared" si="10"/>
        <v>447600</v>
      </c>
      <c r="P20" s="108">
        <v>1.4999999999999999E-2</v>
      </c>
      <c r="Q20" s="166">
        <f t="shared" si="11"/>
        <v>1200</v>
      </c>
      <c r="S20" s="143">
        <f t="shared" si="8"/>
        <v>0</v>
      </c>
      <c r="T20" s="143">
        <f t="shared" si="7"/>
        <v>0</v>
      </c>
      <c r="V20" s="142">
        <f t="shared" si="12"/>
        <v>0</v>
      </c>
      <c r="W20" s="142">
        <f t="shared" si="13"/>
        <v>0</v>
      </c>
      <c r="X20" s="144">
        <f t="shared" si="14"/>
        <v>0</v>
      </c>
      <c r="AA20" s="41" t="s">
        <v>180</v>
      </c>
    </row>
    <row r="21" spans="1:27" x14ac:dyDescent="0.2">
      <c r="A21" s="91">
        <v>3</v>
      </c>
      <c r="B21" s="91" t="s">
        <v>348</v>
      </c>
      <c r="C21" s="92">
        <v>36910</v>
      </c>
      <c r="D21" s="41" t="s">
        <v>333</v>
      </c>
      <c r="E21" s="41" t="s">
        <v>14</v>
      </c>
      <c r="F21" s="41" t="s">
        <v>347</v>
      </c>
      <c r="G21" s="91" t="s">
        <v>329</v>
      </c>
      <c r="H21" s="41" t="s">
        <v>334</v>
      </c>
      <c r="I21" s="93">
        <v>0</v>
      </c>
      <c r="J21" s="140">
        <f t="shared" si="9"/>
        <v>0</v>
      </c>
      <c r="K21" s="95">
        <v>37043</v>
      </c>
      <c r="L21" s="96">
        <v>80000</v>
      </c>
      <c r="M21" s="97" t="s">
        <v>25</v>
      </c>
      <c r="N21" s="98">
        <v>5.5949999999999998</v>
      </c>
      <c r="O21" s="141">
        <f t="shared" si="10"/>
        <v>447600</v>
      </c>
      <c r="P21" s="108">
        <v>1.4999999999999999E-2</v>
      </c>
      <c r="Q21" s="166">
        <f t="shared" si="11"/>
        <v>1200</v>
      </c>
      <c r="S21" s="143">
        <f t="shared" si="8"/>
        <v>0</v>
      </c>
      <c r="T21" s="143">
        <f t="shared" si="7"/>
        <v>0</v>
      </c>
      <c r="V21" s="142">
        <f t="shared" si="12"/>
        <v>0</v>
      </c>
      <c r="W21" s="142">
        <f t="shared" si="13"/>
        <v>0</v>
      </c>
      <c r="X21" s="144">
        <f t="shared" si="14"/>
        <v>0</v>
      </c>
      <c r="AA21" s="41" t="s">
        <v>180</v>
      </c>
    </row>
    <row r="22" spans="1:27" x14ac:dyDescent="0.2">
      <c r="A22" s="91">
        <v>3</v>
      </c>
      <c r="B22" s="91" t="s">
        <v>348</v>
      </c>
      <c r="C22" s="92">
        <v>36910</v>
      </c>
      <c r="D22" s="41" t="s">
        <v>333</v>
      </c>
      <c r="E22" s="41" t="s">
        <v>14</v>
      </c>
      <c r="F22" s="41" t="s">
        <v>347</v>
      </c>
      <c r="G22" s="91" t="s">
        <v>329</v>
      </c>
      <c r="H22" s="41" t="s">
        <v>334</v>
      </c>
      <c r="I22" s="93">
        <v>0</v>
      </c>
      <c r="J22" s="140">
        <f t="shared" si="9"/>
        <v>0</v>
      </c>
      <c r="K22" s="95">
        <v>37073</v>
      </c>
      <c r="L22" s="96">
        <v>80000</v>
      </c>
      <c r="M22" s="97" t="s">
        <v>25</v>
      </c>
      <c r="N22" s="98">
        <v>5.5949999999999998</v>
      </c>
      <c r="O22" s="141">
        <f t="shared" si="10"/>
        <v>447600</v>
      </c>
      <c r="P22" s="108">
        <v>1.4999999999999999E-2</v>
      </c>
      <c r="Q22" s="166">
        <f t="shared" si="11"/>
        <v>1200</v>
      </c>
      <c r="S22" s="143">
        <f t="shared" si="8"/>
        <v>0</v>
      </c>
      <c r="T22" s="143">
        <f t="shared" si="7"/>
        <v>0</v>
      </c>
      <c r="V22" s="142">
        <f t="shared" si="12"/>
        <v>0</v>
      </c>
      <c r="W22" s="142">
        <f t="shared" si="13"/>
        <v>0</v>
      </c>
      <c r="X22" s="144">
        <f t="shared" si="14"/>
        <v>0</v>
      </c>
      <c r="AA22" s="41" t="s">
        <v>180</v>
      </c>
    </row>
    <row r="23" spans="1:27" x14ac:dyDescent="0.2">
      <c r="A23" s="91">
        <v>3</v>
      </c>
      <c r="B23" s="91" t="s">
        <v>348</v>
      </c>
      <c r="C23" s="92">
        <v>36910</v>
      </c>
      <c r="D23" s="41" t="s">
        <v>333</v>
      </c>
      <c r="E23" s="41" t="s">
        <v>14</v>
      </c>
      <c r="F23" s="41" t="s">
        <v>347</v>
      </c>
      <c r="G23" s="91" t="s">
        <v>329</v>
      </c>
      <c r="H23" s="41" t="s">
        <v>334</v>
      </c>
      <c r="I23" s="93">
        <v>0</v>
      </c>
      <c r="J23" s="140">
        <f t="shared" si="9"/>
        <v>0</v>
      </c>
      <c r="K23" s="95">
        <v>37104</v>
      </c>
      <c r="L23" s="96">
        <v>80000</v>
      </c>
      <c r="M23" s="97" t="s">
        <v>25</v>
      </c>
      <c r="N23" s="98">
        <v>5.5949999999999998</v>
      </c>
      <c r="O23" s="141">
        <f t="shared" si="10"/>
        <v>447600</v>
      </c>
      <c r="P23" s="108">
        <v>1.4999999999999999E-2</v>
      </c>
      <c r="Q23" s="166">
        <f t="shared" si="11"/>
        <v>1200</v>
      </c>
      <c r="S23" s="143">
        <f t="shared" si="8"/>
        <v>0</v>
      </c>
      <c r="T23" s="143">
        <f t="shared" si="7"/>
        <v>0</v>
      </c>
      <c r="V23" s="142">
        <f t="shared" si="12"/>
        <v>0</v>
      </c>
      <c r="W23" s="142">
        <f t="shared" si="13"/>
        <v>0</v>
      </c>
      <c r="X23" s="144">
        <f t="shared" si="14"/>
        <v>0</v>
      </c>
      <c r="AA23" s="41" t="s">
        <v>180</v>
      </c>
    </row>
    <row r="24" spans="1:27" x14ac:dyDescent="0.2">
      <c r="A24" s="91">
        <v>3</v>
      </c>
      <c r="B24" s="91" t="s">
        <v>348</v>
      </c>
      <c r="C24" s="92">
        <v>36910</v>
      </c>
      <c r="D24" s="41" t="s">
        <v>333</v>
      </c>
      <c r="E24" s="41" t="s">
        <v>14</v>
      </c>
      <c r="F24" s="41" t="s">
        <v>347</v>
      </c>
      <c r="G24" s="91" t="s">
        <v>329</v>
      </c>
      <c r="H24" s="41" t="s">
        <v>334</v>
      </c>
      <c r="I24" s="93">
        <v>0</v>
      </c>
      <c r="J24" s="140">
        <f t="shared" si="9"/>
        <v>0</v>
      </c>
      <c r="K24" s="95">
        <v>37135</v>
      </c>
      <c r="L24" s="96">
        <v>80000</v>
      </c>
      <c r="M24" s="97" t="s">
        <v>25</v>
      </c>
      <c r="N24" s="98">
        <v>5.5949999999999998</v>
      </c>
      <c r="O24" s="141">
        <f t="shared" si="10"/>
        <v>447600</v>
      </c>
      <c r="P24" s="108">
        <v>1.4999999999999999E-2</v>
      </c>
      <c r="Q24" s="166">
        <f t="shared" si="11"/>
        <v>1200</v>
      </c>
      <c r="S24" s="143">
        <f t="shared" si="8"/>
        <v>0</v>
      </c>
      <c r="T24" s="143">
        <f t="shared" si="7"/>
        <v>0</v>
      </c>
      <c r="V24" s="142">
        <f t="shared" si="12"/>
        <v>0</v>
      </c>
      <c r="W24" s="142">
        <f t="shared" si="13"/>
        <v>0</v>
      </c>
      <c r="X24" s="144">
        <f t="shared" si="14"/>
        <v>0</v>
      </c>
      <c r="AA24" s="41" t="s">
        <v>180</v>
      </c>
    </row>
    <row r="26" spans="1:27" x14ac:dyDescent="0.2">
      <c r="A26" s="91">
        <v>4</v>
      </c>
      <c r="B26" s="91" t="s">
        <v>336</v>
      </c>
      <c r="C26" s="92">
        <v>36913</v>
      </c>
      <c r="D26" s="41" t="s">
        <v>335</v>
      </c>
      <c r="E26" s="41" t="s">
        <v>14</v>
      </c>
      <c r="F26" s="41" t="s">
        <v>347</v>
      </c>
      <c r="G26" s="91" t="s">
        <v>329</v>
      </c>
      <c r="H26" s="41" t="s">
        <v>112</v>
      </c>
      <c r="I26" s="93">
        <v>-2.5000000000000001E-2</v>
      </c>
      <c r="J26" s="140">
        <f>+I26*L26</f>
        <v>-1000</v>
      </c>
      <c r="K26" s="95">
        <v>36923</v>
      </c>
      <c r="L26" s="96">
        <v>40000</v>
      </c>
      <c r="M26" s="97" t="s">
        <v>25</v>
      </c>
      <c r="N26" s="98">
        <v>9</v>
      </c>
      <c r="O26" s="141">
        <f>L26*N26</f>
        <v>360000</v>
      </c>
      <c r="P26" s="108">
        <v>0.02</v>
      </c>
      <c r="Q26" s="166">
        <f>P26*L26</f>
        <v>800</v>
      </c>
      <c r="S26" s="143">
        <f t="shared" si="8"/>
        <v>5.8449999999999998</v>
      </c>
      <c r="T26" s="143">
        <f t="shared" si="7"/>
        <v>0</v>
      </c>
      <c r="V26" s="142">
        <f>IF(H26="Swap",S26-N26,IF(H26="Call",MAX(S26-N26,0),IF(H26="Put",MAX(N26-S26,0),"Error on Structure")))
* IF(G26="Buy",1,IF(G26="Sell",-1,"Error on Buy/Sell"))
* L26
* IF(S26=0,0,1)</f>
        <v>0</v>
      </c>
      <c r="W26" s="142">
        <f>IF(H26="Swap",T26-N26,IF(H26="Call",MAX(T26-N26,0),IF(H26="Put",MAX(N26-T26,0),"Error on Structure")))
* IF(G26="Buy",1,IF(G26="Sell",-1,"Error on Buy/Sell"))
* L26
* IF(T26=0,0,1)</f>
        <v>0</v>
      </c>
      <c r="X26" s="144">
        <f>SUM(V26:W26)</f>
        <v>0</v>
      </c>
    </row>
    <row r="27" spans="1:27" x14ac:dyDescent="0.2">
      <c r="A27" s="91">
        <v>4</v>
      </c>
      <c r="B27" s="91" t="s">
        <v>336</v>
      </c>
      <c r="C27" s="92">
        <v>36913</v>
      </c>
      <c r="D27" s="41" t="s">
        <v>335</v>
      </c>
      <c r="E27" s="41" t="s">
        <v>14</v>
      </c>
      <c r="F27" s="41" t="s">
        <v>347</v>
      </c>
      <c r="G27" s="91" t="s">
        <v>327</v>
      </c>
      <c r="H27" s="41" t="s">
        <v>330</v>
      </c>
      <c r="I27" s="93">
        <v>0</v>
      </c>
      <c r="J27" s="140">
        <f>+I27*L27</f>
        <v>0</v>
      </c>
      <c r="K27" s="95">
        <v>36923</v>
      </c>
      <c r="L27" s="96">
        <v>40000</v>
      </c>
      <c r="M27" s="97" t="s">
        <v>25</v>
      </c>
      <c r="N27" s="98">
        <v>3</v>
      </c>
      <c r="O27" s="141">
        <f>L27*N27</f>
        <v>120000</v>
      </c>
      <c r="P27" s="108">
        <v>0</v>
      </c>
      <c r="Q27" s="166">
        <f>P27*L27</f>
        <v>0</v>
      </c>
      <c r="S27" s="143">
        <f t="shared" si="8"/>
        <v>5.8449999999999998</v>
      </c>
      <c r="T27" s="143">
        <f t="shared" si="7"/>
        <v>0</v>
      </c>
      <c r="V27" s="142">
        <f>IF(H27="Swap",S27-N27,IF(H27="Call",MAX(S27-N27,0),IF(H27="Put",MAX(N27-S27,0),"Error on Structure")))
* IF(G27="Buy",1,IF(G27="Sell",-1,"Error on Buy/Sell"))
* L27
* IF(S27=0,0,1)</f>
        <v>0</v>
      </c>
      <c r="W27" s="142">
        <f>IF(H27="Swap",T27-N27,IF(H27="Call",MAX(T27-N27,0),IF(H27="Put",MAX(N27-T27,0),"Error on Structure")))
* IF(G27="Buy",1,IF(G27="Sell",-1,"Error on Buy/Sell"))
* L27
* IF(T27=0,0,1)</f>
        <v>0</v>
      </c>
      <c r="X27" s="144">
        <f>SUM(V27:W27)</f>
        <v>0</v>
      </c>
    </row>
    <row r="28" spans="1:27" x14ac:dyDescent="0.2">
      <c r="K28" s="95"/>
      <c r="N28" s="98"/>
      <c r="W28" s="142"/>
    </row>
    <row r="29" spans="1:27" x14ac:dyDescent="0.2">
      <c r="A29" s="91">
        <v>5</v>
      </c>
      <c r="B29" s="91" t="s">
        <v>341</v>
      </c>
      <c r="C29" s="92">
        <v>36934</v>
      </c>
      <c r="D29" s="41" t="s">
        <v>342</v>
      </c>
      <c r="E29" s="41" t="s">
        <v>14</v>
      </c>
      <c r="F29" s="41" t="s">
        <v>347</v>
      </c>
      <c r="G29" s="91" t="s">
        <v>329</v>
      </c>
      <c r="H29" s="41" t="s">
        <v>334</v>
      </c>
      <c r="I29" s="93">
        <v>0</v>
      </c>
      <c r="J29" s="140">
        <f>+I29*L29</f>
        <v>0</v>
      </c>
      <c r="K29" s="95">
        <v>37622</v>
      </c>
      <c r="L29" s="96">
        <v>60000</v>
      </c>
      <c r="M29" s="97" t="s">
        <v>25</v>
      </c>
      <c r="N29" s="98">
        <v>4.1500000000000004</v>
      </c>
      <c r="O29" s="141">
        <f>L29*N29</f>
        <v>249000.00000000003</v>
      </c>
      <c r="P29" s="108">
        <v>0.01</v>
      </c>
      <c r="Q29" s="166">
        <f>P29*L29</f>
        <v>600</v>
      </c>
      <c r="S29" s="143">
        <f>VLOOKUP(K29,Prices,HLOOKUP(F29,Column,2))</f>
        <v>0</v>
      </c>
      <c r="T29" s="143">
        <f>IF(S29=0,VLOOKUP(K29,FWD_Prices,HLOOKUP(F29,Column,2)),0)</f>
        <v>0</v>
      </c>
      <c r="V29" s="142">
        <f>IF(H29="Swap",S29-N29,IF(H29="Call",MAX(S29-N29,0),IF(H29="Put",MAX(N29-S29,0),"Error on Structure")))
* IF(G29="Buy",1,IF(G29="Sell",-1,"Error on Buy/Sell"))
* L29
* IF(S29=0,0,1)</f>
        <v>0</v>
      </c>
      <c r="W29" s="142">
        <f>IF(H29="Swap",T29-N29,IF(H29="Call",MAX(T29-N29,0),IF(H29="Put",MAX(N29-T29,0),"Error on Structure")))
* IF(G29="Buy",1,IF(G29="Sell",-1,"Error on Buy/Sell"))
* L29
* IF(T29=0,0,1)</f>
        <v>0</v>
      </c>
      <c r="X29" s="144">
        <f>SUM(V29:W29)</f>
        <v>0</v>
      </c>
      <c r="AA29" s="41" t="s">
        <v>349</v>
      </c>
    </row>
    <row r="30" spans="1:27" x14ac:dyDescent="0.2">
      <c r="A30" s="91">
        <v>5</v>
      </c>
      <c r="B30" s="91" t="s">
        <v>341</v>
      </c>
      <c r="C30" s="92">
        <v>36934</v>
      </c>
      <c r="D30" s="41" t="s">
        <v>342</v>
      </c>
      <c r="E30" s="41" t="s">
        <v>14</v>
      </c>
      <c r="F30" s="41" t="s">
        <v>347</v>
      </c>
      <c r="G30" s="91" t="s">
        <v>329</v>
      </c>
      <c r="H30" s="41" t="s">
        <v>334</v>
      </c>
      <c r="I30" s="93">
        <v>0</v>
      </c>
      <c r="J30" s="140">
        <f t="shared" ref="J30:J40" si="15">+I30*L30</f>
        <v>0</v>
      </c>
      <c r="K30" s="95">
        <v>37653</v>
      </c>
      <c r="L30" s="96">
        <v>60000</v>
      </c>
      <c r="M30" s="97" t="s">
        <v>25</v>
      </c>
      <c r="N30" s="98">
        <v>4.1500000000000004</v>
      </c>
      <c r="O30" s="141">
        <f t="shared" ref="O30:O40" si="16">L30*N30</f>
        <v>249000.00000000003</v>
      </c>
      <c r="P30" s="108">
        <v>0.01</v>
      </c>
      <c r="Q30" s="166">
        <f t="shared" ref="Q30:Q40" si="17">P30*L30</f>
        <v>600</v>
      </c>
      <c r="S30" s="143">
        <f t="shared" ref="S30:S40" si="18">VLOOKUP(K30,Prices,HLOOKUP(F30,Column,2))</f>
        <v>0</v>
      </c>
      <c r="T30" s="143">
        <f t="shared" ref="T30:T40" si="19">IF(S30=0,VLOOKUP(K30,FWD_Prices,HLOOKUP(F30,Column,2)),0)</f>
        <v>0</v>
      </c>
      <c r="V30" s="142">
        <f t="shared" ref="V30:V40" si="20">IF(H30="Swap",S30-N30,IF(H30="Call",MAX(S30-N30,0),IF(H30="Put",MAX(N30-S30,0),"Error on Structure")))
* IF(G30="Buy",1,IF(G30="Sell",-1,"Error on Buy/Sell"))
* L30
* IF(S30=0,0,1)</f>
        <v>0</v>
      </c>
      <c r="W30" s="142">
        <f t="shared" ref="W30:W40" si="21">IF(H30="Swap",T30-N30,IF(H30="Call",MAX(T30-N30,0),IF(H30="Put",MAX(N30-T30,0),"Error on Structure")))
* IF(G30="Buy",1,IF(G30="Sell",-1,"Error on Buy/Sell"))
* L30
* IF(T30=0,0,1)</f>
        <v>0</v>
      </c>
      <c r="X30" s="144">
        <f t="shared" ref="X30:X40" si="22">SUM(V30:W30)</f>
        <v>0</v>
      </c>
      <c r="AA30" s="41" t="s">
        <v>349</v>
      </c>
    </row>
    <row r="31" spans="1:27" x14ac:dyDescent="0.2">
      <c r="A31" s="91">
        <v>5</v>
      </c>
      <c r="B31" s="91" t="s">
        <v>341</v>
      </c>
      <c r="C31" s="92">
        <v>36934</v>
      </c>
      <c r="D31" s="41" t="s">
        <v>342</v>
      </c>
      <c r="E31" s="41" t="s">
        <v>14</v>
      </c>
      <c r="F31" s="41" t="s">
        <v>347</v>
      </c>
      <c r="G31" s="91" t="s">
        <v>329</v>
      </c>
      <c r="H31" s="41" t="s">
        <v>334</v>
      </c>
      <c r="I31" s="93">
        <v>0</v>
      </c>
      <c r="J31" s="140">
        <f t="shared" si="15"/>
        <v>0</v>
      </c>
      <c r="K31" s="95">
        <v>37681</v>
      </c>
      <c r="L31" s="96">
        <v>60000</v>
      </c>
      <c r="M31" s="97" t="s">
        <v>25</v>
      </c>
      <c r="N31" s="98">
        <v>4.1500000000000004</v>
      </c>
      <c r="O31" s="141">
        <f t="shared" si="16"/>
        <v>249000.00000000003</v>
      </c>
      <c r="P31" s="108">
        <v>0.01</v>
      </c>
      <c r="Q31" s="166">
        <f t="shared" si="17"/>
        <v>600</v>
      </c>
      <c r="S31" s="143">
        <f t="shared" si="18"/>
        <v>0</v>
      </c>
      <c r="T31" s="143">
        <f t="shared" si="19"/>
        <v>0</v>
      </c>
      <c r="V31" s="142">
        <f t="shared" si="20"/>
        <v>0</v>
      </c>
      <c r="W31" s="142">
        <f t="shared" si="21"/>
        <v>0</v>
      </c>
      <c r="X31" s="144">
        <f t="shared" si="22"/>
        <v>0</v>
      </c>
      <c r="AA31" s="41" t="s">
        <v>349</v>
      </c>
    </row>
    <row r="32" spans="1:27" x14ac:dyDescent="0.2">
      <c r="A32" s="91">
        <v>5</v>
      </c>
      <c r="B32" s="91" t="s">
        <v>341</v>
      </c>
      <c r="C32" s="92">
        <v>36934</v>
      </c>
      <c r="D32" s="41" t="s">
        <v>342</v>
      </c>
      <c r="E32" s="41" t="s">
        <v>14</v>
      </c>
      <c r="F32" s="41" t="s">
        <v>347</v>
      </c>
      <c r="G32" s="91" t="s">
        <v>329</v>
      </c>
      <c r="H32" s="41" t="s">
        <v>334</v>
      </c>
      <c r="I32" s="93">
        <v>0</v>
      </c>
      <c r="J32" s="140">
        <f t="shared" si="15"/>
        <v>0</v>
      </c>
      <c r="K32" s="95">
        <v>37712</v>
      </c>
      <c r="L32" s="96">
        <v>60000</v>
      </c>
      <c r="M32" s="97" t="s">
        <v>25</v>
      </c>
      <c r="N32" s="98">
        <v>4.1500000000000004</v>
      </c>
      <c r="O32" s="141">
        <f t="shared" si="16"/>
        <v>249000.00000000003</v>
      </c>
      <c r="P32" s="108">
        <v>0.01</v>
      </c>
      <c r="Q32" s="166">
        <f t="shared" si="17"/>
        <v>600</v>
      </c>
      <c r="S32" s="143">
        <f t="shared" si="18"/>
        <v>0</v>
      </c>
      <c r="T32" s="143">
        <f t="shared" si="19"/>
        <v>0</v>
      </c>
      <c r="V32" s="142">
        <f t="shared" si="20"/>
        <v>0</v>
      </c>
      <c r="W32" s="142">
        <f t="shared" si="21"/>
        <v>0</v>
      </c>
      <c r="X32" s="144">
        <f t="shared" si="22"/>
        <v>0</v>
      </c>
      <c r="AA32" s="41" t="s">
        <v>349</v>
      </c>
    </row>
    <row r="33" spans="1:29" x14ac:dyDescent="0.2">
      <c r="A33" s="91">
        <v>5</v>
      </c>
      <c r="B33" s="91" t="s">
        <v>341</v>
      </c>
      <c r="C33" s="92">
        <v>36934</v>
      </c>
      <c r="D33" s="41" t="s">
        <v>342</v>
      </c>
      <c r="E33" s="41" t="s">
        <v>14</v>
      </c>
      <c r="F33" s="41" t="s">
        <v>347</v>
      </c>
      <c r="G33" s="91" t="s">
        <v>329</v>
      </c>
      <c r="H33" s="41" t="s">
        <v>334</v>
      </c>
      <c r="I33" s="93">
        <v>0</v>
      </c>
      <c r="J33" s="140">
        <f t="shared" si="15"/>
        <v>0</v>
      </c>
      <c r="K33" s="95">
        <v>37742</v>
      </c>
      <c r="L33" s="96">
        <v>60000</v>
      </c>
      <c r="M33" s="97" t="s">
        <v>25</v>
      </c>
      <c r="N33" s="98">
        <v>4.1500000000000004</v>
      </c>
      <c r="O33" s="141">
        <f t="shared" si="16"/>
        <v>249000.00000000003</v>
      </c>
      <c r="P33" s="108">
        <v>0.01</v>
      </c>
      <c r="Q33" s="166">
        <f t="shared" si="17"/>
        <v>600</v>
      </c>
      <c r="S33" s="143">
        <f t="shared" si="18"/>
        <v>0</v>
      </c>
      <c r="T33" s="143">
        <f t="shared" si="19"/>
        <v>0</v>
      </c>
      <c r="V33" s="142">
        <f t="shared" si="20"/>
        <v>0</v>
      </c>
      <c r="W33" s="142">
        <f t="shared" si="21"/>
        <v>0</v>
      </c>
      <c r="X33" s="144">
        <f t="shared" si="22"/>
        <v>0</v>
      </c>
      <c r="AA33" s="41" t="s">
        <v>349</v>
      </c>
    </row>
    <row r="34" spans="1:29" x14ac:dyDescent="0.2">
      <c r="A34" s="91">
        <v>5</v>
      </c>
      <c r="B34" s="91" t="s">
        <v>341</v>
      </c>
      <c r="C34" s="92">
        <v>36934</v>
      </c>
      <c r="D34" s="41" t="s">
        <v>342</v>
      </c>
      <c r="E34" s="41" t="s">
        <v>14</v>
      </c>
      <c r="F34" s="41" t="s">
        <v>347</v>
      </c>
      <c r="G34" s="91" t="s">
        <v>329</v>
      </c>
      <c r="H34" s="41" t="s">
        <v>334</v>
      </c>
      <c r="I34" s="93">
        <v>0</v>
      </c>
      <c r="J34" s="140">
        <f t="shared" si="15"/>
        <v>0</v>
      </c>
      <c r="K34" s="95">
        <v>37773</v>
      </c>
      <c r="L34" s="96">
        <v>60000</v>
      </c>
      <c r="M34" s="97" t="s">
        <v>25</v>
      </c>
      <c r="N34" s="98">
        <v>4.1500000000000004</v>
      </c>
      <c r="O34" s="141">
        <f t="shared" si="16"/>
        <v>249000.00000000003</v>
      </c>
      <c r="P34" s="108">
        <v>0.01</v>
      </c>
      <c r="Q34" s="166">
        <f t="shared" si="17"/>
        <v>600</v>
      </c>
      <c r="S34" s="143">
        <f t="shared" si="18"/>
        <v>0</v>
      </c>
      <c r="T34" s="143">
        <f t="shared" si="19"/>
        <v>0</v>
      </c>
      <c r="V34" s="142">
        <f t="shared" si="20"/>
        <v>0</v>
      </c>
      <c r="W34" s="142">
        <f t="shared" si="21"/>
        <v>0</v>
      </c>
      <c r="X34" s="144">
        <f t="shared" si="22"/>
        <v>0</v>
      </c>
      <c r="AA34" s="41" t="s">
        <v>349</v>
      </c>
    </row>
    <row r="35" spans="1:29" x14ac:dyDescent="0.2">
      <c r="A35" s="91">
        <v>5</v>
      </c>
      <c r="B35" s="91" t="s">
        <v>341</v>
      </c>
      <c r="C35" s="92">
        <v>36934</v>
      </c>
      <c r="D35" s="41" t="s">
        <v>342</v>
      </c>
      <c r="E35" s="41" t="s">
        <v>14</v>
      </c>
      <c r="F35" s="41" t="s">
        <v>347</v>
      </c>
      <c r="G35" s="91" t="s">
        <v>329</v>
      </c>
      <c r="H35" s="41" t="s">
        <v>334</v>
      </c>
      <c r="I35" s="93">
        <v>0</v>
      </c>
      <c r="J35" s="140">
        <f t="shared" si="15"/>
        <v>0</v>
      </c>
      <c r="K35" s="95">
        <v>37803</v>
      </c>
      <c r="L35" s="96">
        <v>60000</v>
      </c>
      <c r="M35" s="97" t="s">
        <v>25</v>
      </c>
      <c r="N35" s="98">
        <v>4.1500000000000004</v>
      </c>
      <c r="O35" s="141">
        <f t="shared" si="16"/>
        <v>249000.00000000003</v>
      </c>
      <c r="P35" s="108">
        <v>0.01</v>
      </c>
      <c r="Q35" s="166">
        <f t="shared" si="17"/>
        <v>600</v>
      </c>
      <c r="S35" s="143">
        <f t="shared" si="18"/>
        <v>0</v>
      </c>
      <c r="T35" s="143">
        <f t="shared" si="19"/>
        <v>0</v>
      </c>
      <c r="V35" s="142">
        <f t="shared" si="20"/>
        <v>0</v>
      </c>
      <c r="W35" s="142">
        <f t="shared" si="21"/>
        <v>0</v>
      </c>
      <c r="X35" s="144">
        <f t="shared" si="22"/>
        <v>0</v>
      </c>
      <c r="AA35" s="41" t="s">
        <v>349</v>
      </c>
    </row>
    <row r="36" spans="1:29" x14ac:dyDescent="0.2">
      <c r="A36" s="91">
        <v>5</v>
      </c>
      <c r="B36" s="91" t="s">
        <v>341</v>
      </c>
      <c r="C36" s="92">
        <v>36934</v>
      </c>
      <c r="D36" s="41" t="s">
        <v>342</v>
      </c>
      <c r="E36" s="41" t="s">
        <v>14</v>
      </c>
      <c r="F36" s="41" t="s">
        <v>347</v>
      </c>
      <c r="G36" s="91" t="s">
        <v>329</v>
      </c>
      <c r="H36" s="41" t="s">
        <v>334</v>
      </c>
      <c r="I36" s="93">
        <v>0</v>
      </c>
      <c r="J36" s="140">
        <f t="shared" si="15"/>
        <v>0</v>
      </c>
      <c r="K36" s="95">
        <v>37834</v>
      </c>
      <c r="L36" s="96">
        <v>60000</v>
      </c>
      <c r="M36" s="97" t="s">
        <v>25</v>
      </c>
      <c r="N36" s="98">
        <v>4.1500000000000004</v>
      </c>
      <c r="O36" s="141">
        <f t="shared" si="16"/>
        <v>249000.00000000003</v>
      </c>
      <c r="P36" s="108">
        <v>0.01</v>
      </c>
      <c r="Q36" s="166">
        <f t="shared" si="17"/>
        <v>600</v>
      </c>
      <c r="S36" s="143">
        <f t="shared" si="18"/>
        <v>0</v>
      </c>
      <c r="T36" s="143">
        <f t="shared" si="19"/>
        <v>0</v>
      </c>
      <c r="V36" s="142">
        <f t="shared" si="20"/>
        <v>0</v>
      </c>
      <c r="W36" s="142">
        <f t="shared" si="21"/>
        <v>0</v>
      </c>
      <c r="X36" s="144">
        <f t="shared" si="22"/>
        <v>0</v>
      </c>
      <c r="AA36" s="41" t="s">
        <v>349</v>
      </c>
    </row>
    <row r="37" spans="1:29" x14ac:dyDescent="0.2">
      <c r="A37" s="91">
        <v>5</v>
      </c>
      <c r="B37" s="91" t="s">
        <v>341</v>
      </c>
      <c r="C37" s="92">
        <v>36934</v>
      </c>
      <c r="D37" s="41" t="s">
        <v>342</v>
      </c>
      <c r="E37" s="41" t="s">
        <v>14</v>
      </c>
      <c r="F37" s="41" t="s">
        <v>347</v>
      </c>
      <c r="G37" s="91" t="s">
        <v>329</v>
      </c>
      <c r="H37" s="41" t="s">
        <v>334</v>
      </c>
      <c r="I37" s="93">
        <v>0</v>
      </c>
      <c r="J37" s="140">
        <f t="shared" si="15"/>
        <v>0</v>
      </c>
      <c r="K37" s="95">
        <v>37865</v>
      </c>
      <c r="L37" s="96">
        <v>60000</v>
      </c>
      <c r="M37" s="97" t="s">
        <v>25</v>
      </c>
      <c r="N37" s="98">
        <v>4.1500000000000004</v>
      </c>
      <c r="O37" s="141">
        <f t="shared" si="16"/>
        <v>249000.00000000003</v>
      </c>
      <c r="P37" s="108">
        <v>0.01</v>
      </c>
      <c r="Q37" s="166">
        <f t="shared" si="17"/>
        <v>600</v>
      </c>
      <c r="S37" s="143">
        <f t="shared" si="18"/>
        <v>0</v>
      </c>
      <c r="T37" s="143">
        <f t="shared" si="19"/>
        <v>0</v>
      </c>
      <c r="V37" s="142">
        <f t="shared" si="20"/>
        <v>0</v>
      </c>
      <c r="W37" s="142">
        <f t="shared" si="21"/>
        <v>0</v>
      </c>
      <c r="X37" s="144">
        <f t="shared" si="22"/>
        <v>0</v>
      </c>
      <c r="AA37" s="41" t="s">
        <v>349</v>
      </c>
    </row>
    <row r="38" spans="1:29" x14ac:dyDescent="0.2">
      <c r="A38" s="91">
        <v>5</v>
      </c>
      <c r="B38" s="91" t="s">
        <v>341</v>
      </c>
      <c r="C38" s="92">
        <v>36934</v>
      </c>
      <c r="D38" s="41" t="s">
        <v>342</v>
      </c>
      <c r="E38" s="41" t="s">
        <v>14</v>
      </c>
      <c r="F38" s="41" t="s">
        <v>347</v>
      </c>
      <c r="G38" s="91" t="s">
        <v>329</v>
      </c>
      <c r="H38" s="41" t="s">
        <v>334</v>
      </c>
      <c r="I38" s="93">
        <v>0</v>
      </c>
      <c r="J38" s="140">
        <f t="shared" si="15"/>
        <v>0</v>
      </c>
      <c r="K38" s="95">
        <v>37895</v>
      </c>
      <c r="L38" s="96">
        <v>60000</v>
      </c>
      <c r="M38" s="97" t="s">
        <v>25</v>
      </c>
      <c r="N38" s="98">
        <v>4.1500000000000004</v>
      </c>
      <c r="O38" s="141">
        <f t="shared" si="16"/>
        <v>249000.00000000003</v>
      </c>
      <c r="P38" s="108">
        <v>0.01</v>
      </c>
      <c r="Q38" s="166">
        <f t="shared" si="17"/>
        <v>600</v>
      </c>
      <c r="S38" s="143">
        <f t="shared" si="18"/>
        <v>0</v>
      </c>
      <c r="T38" s="143">
        <f t="shared" si="19"/>
        <v>0</v>
      </c>
      <c r="V38" s="142">
        <f t="shared" si="20"/>
        <v>0</v>
      </c>
      <c r="W38" s="142">
        <f t="shared" si="21"/>
        <v>0</v>
      </c>
      <c r="X38" s="144">
        <f t="shared" si="22"/>
        <v>0</v>
      </c>
      <c r="AA38" s="41" t="s">
        <v>349</v>
      </c>
    </row>
    <row r="39" spans="1:29" x14ac:dyDescent="0.2">
      <c r="A39" s="91">
        <v>5</v>
      </c>
      <c r="B39" s="91" t="s">
        <v>341</v>
      </c>
      <c r="C39" s="92">
        <v>36934</v>
      </c>
      <c r="D39" s="41" t="s">
        <v>342</v>
      </c>
      <c r="E39" s="41" t="s">
        <v>14</v>
      </c>
      <c r="F39" s="41" t="s">
        <v>347</v>
      </c>
      <c r="G39" s="91" t="s">
        <v>329</v>
      </c>
      <c r="H39" s="41" t="s">
        <v>334</v>
      </c>
      <c r="I39" s="93">
        <v>0</v>
      </c>
      <c r="J39" s="140">
        <f t="shared" si="15"/>
        <v>0</v>
      </c>
      <c r="K39" s="95">
        <v>37926</v>
      </c>
      <c r="L39" s="96">
        <v>60000</v>
      </c>
      <c r="M39" s="97" t="s">
        <v>25</v>
      </c>
      <c r="N39" s="98">
        <v>4.1500000000000004</v>
      </c>
      <c r="O39" s="141">
        <f t="shared" si="16"/>
        <v>249000.00000000003</v>
      </c>
      <c r="P39" s="108">
        <v>0.01</v>
      </c>
      <c r="Q39" s="166">
        <f t="shared" si="17"/>
        <v>600</v>
      </c>
      <c r="S39" s="143">
        <f t="shared" si="18"/>
        <v>0</v>
      </c>
      <c r="T39" s="143">
        <f t="shared" si="19"/>
        <v>0</v>
      </c>
      <c r="V39" s="142">
        <f t="shared" si="20"/>
        <v>0</v>
      </c>
      <c r="W39" s="142">
        <f t="shared" si="21"/>
        <v>0</v>
      </c>
      <c r="X39" s="144">
        <f t="shared" si="22"/>
        <v>0</v>
      </c>
      <c r="AA39" s="41" t="s">
        <v>349</v>
      </c>
    </row>
    <row r="40" spans="1:29" x14ac:dyDescent="0.2">
      <c r="A40" s="91">
        <v>5</v>
      </c>
      <c r="B40" s="91" t="s">
        <v>341</v>
      </c>
      <c r="C40" s="92">
        <v>36934</v>
      </c>
      <c r="D40" s="41" t="s">
        <v>342</v>
      </c>
      <c r="E40" s="41" t="s">
        <v>14</v>
      </c>
      <c r="F40" s="41" t="s">
        <v>347</v>
      </c>
      <c r="G40" s="91" t="s">
        <v>329</v>
      </c>
      <c r="H40" s="41" t="s">
        <v>334</v>
      </c>
      <c r="I40" s="93">
        <v>0</v>
      </c>
      <c r="J40" s="140">
        <f t="shared" si="15"/>
        <v>0</v>
      </c>
      <c r="K40" s="95">
        <v>37956</v>
      </c>
      <c r="L40" s="96">
        <v>60000</v>
      </c>
      <c r="M40" s="97" t="s">
        <v>25</v>
      </c>
      <c r="N40" s="98">
        <v>4.1500000000000004</v>
      </c>
      <c r="O40" s="141">
        <f t="shared" si="16"/>
        <v>249000.00000000003</v>
      </c>
      <c r="P40" s="108">
        <v>0.01</v>
      </c>
      <c r="Q40" s="166">
        <f t="shared" si="17"/>
        <v>600</v>
      </c>
      <c r="S40" s="143">
        <f t="shared" si="18"/>
        <v>0</v>
      </c>
      <c r="T40" s="143">
        <f t="shared" si="19"/>
        <v>0</v>
      </c>
      <c r="V40" s="142">
        <f t="shared" si="20"/>
        <v>0</v>
      </c>
      <c r="W40" s="142">
        <f t="shared" si="21"/>
        <v>0</v>
      </c>
      <c r="X40" s="144">
        <f t="shared" si="22"/>
        <v>0</v>
      </c>
      <c r="AA40" s="41" t="s">
        <v>349</v>
      </c>
    </row>
    <row r="42" spans="1:29" x14ac:dyDescent="0.2">
      <c r="A42" s="91">
        <v>6</v>
      </c>
      <c r="B42" s="91" t="s">
        <v>350</v>
      </c>
      <c r="C42" s="92">
        <v>36938</v>
      </c>
      <c r="D42" s="41" t="s">
        <v>374</v>
      </c>
      <c r="E42" s="41" t="s">
        <v>14</v>
      </c>
      <c r="F42" s="41" t="s">
        <v>19</v>
      </c>
      <c r="G42" s="91" t="s">
        <v>329</v>
      </c>
      <c r="H42" s="41" t="s">
        <v>334</v>
      </c>
      <c r="I42" s="93">
        <v>0</v>
      </c>
      <c r="J42" s="140">
        <f>+I42*L42</f>
        <v>0</v>
      </c>
      <c r="K42" s="95">
        <v>36951</v>
      </c>
      <c r="L42" s="96">
        <v>21081</v>
      </c>
      <c r="M42" s="97" t="s">
        <v>25</v>
      </c>
      <c r="N42" s="98">
        <v>9.58</v>
      </c>
      <c r="O42" s="141">
        <f>L42*N42</f>
        <v>201955.98</v>
      </c>
      <c r="P42" s="108">
        <v>0.04</v>
      </c>
      <c r="Q42" s="166">
        <f>P42*L42</f>
        <v>843.24</v>
      </c>
      <c r="S42" s="143">
        <f>VLOOKUP(K42,Prices,HLOOKUP(F42,Column,2))</f>
        <v>5.03</v>
      </c>
      <c r="T42" s="143">
        <f>IF(S42=0,VLOOKUP(K42,FWD_Prices,HLOOKUP(F42,Column,2)),0)</f>
        <v>0</v>
      </c>
      <c r="V42" s="142" t="s">
        <v>298</v>
      </c>
      <c r="W42" s="142" t="s">
        <v>298</v>
      </c>
      <c r="X42" s="142" t="s">
        <v>298</v>
      </c>
      <c r="AA42" s="41" t="s">
        <v>59</v>
      </c>
      <c r="AC42" s="91" t="s">
        <v>202</v>
      </c>
    </row>
    <row r="43" spans="1:29" x14ac:dyDescent="0.2">
      <c r="A43" s="91">
        <v>6</v>
      </c>
      <c r="B43" s="91" t="s">
        <v>343</v>
      </c>
      <c r="C43" s="92">
        <v>36938</v>
      </c>
      <c r="D43" s="41" t="s">
        <v>374</v>
      </c>
      <c r="E43" s="41" t="s">
        <v>14</v>
      </c>
      <c r="F43" s="41" t="s">
        <v>19</v>
      </c>
      <c r="G43" s="91" t="s">
        <v>329</v>
      </c>
      <c r="H43" s="41" t="s">
        <v>334</v>
      </c>
      <c r="I43" s="93">
        <v>0</v>
      </c>
      <c r="J43" s="140">
        <f t="shared" ref="J43:J48" si="23">+I43*L43</f>
        <v>0</v>
      </c>
      <c r="K43" s="95">
        <v>36982</v>
      </c>
      <c r="L43" s="96">
        <v>21081</v>
      </c>
      <c r="M43" s="97" t="s">
        <v>25</v>
      </c>
      <c r="N43" s="98">
        <v>9.58</v>
      </c>
      <c r="O43" s="141">
        <f t="shared" ref="O43:O48" si="24">L43*N43</f>
        <v>201955.98</v>
      </c>
      <c r="P43" s="108">
        <v>0.04</v>
      </c>
      <c r="Q43" s="166">
        <f t="shared" ref="Q43:Q48" si="25">P43*L43</f>
        <v>843.24</v>
      </c>
      <c r="S43" s="143">
        <f t="shared" ref="S43:S48" si="26">VLOOKUP(K43,Prices,HLOOKUP(F43,Column,2))</f>
        <v>0</v>
      </c>
      <c r="T43" s="143">
        <f t="shared" ref="T43:T48" si="27">IF(S43=0,VLOOKUP(K43,FWD_Prices,HLOOKUP(F43,Column,2)),0)</f>
        <v>0</v>
      </c>
      <c r="V43" s="142" t="s">
        <v>298</v>
      </c>
      <c r="W43" s="142" t="s">
        <v>298</v>
      </c>
      <c r="X43" s="142" t="s">
        <v>298</v>
      </c>
      <c r="AA43" s="41" t="s">
        <v>59</v>
      </c>
      <c r="AC43" s="91" t="s">
        <v>202</v>
      </c>
    </row>
    <row r="44" spans="1:29" x14ac:dyDescent="0.2">
      <c r="A44" s="91">
        <v>6</v>
      </c>
      <c r="B44" s="91" t="s">
        <v>343</v>
      </c>
      <c r="C44" s="92">
        <v>36938</v>
      </c>
      <c r="D44" s="41" t="s">
        <v>374</v>
      </c>
      <c r="E44" s="41" t="s">
        <v>14</v>
      </c>
      <c r="F44" s="41" t="s">
        <v>19</v>
      </c>
      <c r="G44" s="91" t="s">
        <v>329</v>
      </c>
      <c r="H44" s="41" t="s">
        <v>334</v>
      </c>
      <c r="I44" s="93">
        <v>0</v>
      </c>
      <c r="J44" s="140">
        <f t="shared" si="23"/>
        <v>0</v>
      </c>
      <c r="K44" s="95">
        <v>37012</v>
      </c>
      <c r="L44" s="96">
        <v>21081</v>
      </c>
      <c r="M44" s="97" t="s">
        <v>25</v>
      </c>
      <c r="N44" s="98">
        <v>9.58</v>
      </c>
      <c r="O44" s="141">
        <f t="shared" si="24"/>
        <v>201955.98</v>
      </c>
      <c r="P44" s="108">
        <v>0.04</v>
      </c>
      <c r="Q44" s="166">
        <f t="shared" si="25"/>
        <v>843.24</v>
      </c>
      <c r="S44" s="143">
        <f t="shared" si="26"/>
        <v>0</v>
      </c>
      <c r="T44" s="143">
        <f t="shared" si="27"/>
        <v>0</v>
      </c>
      <c r="V44" s="142" t="s">
        <v>298</v>
      </c>
      <c r="W44" s="142" t="s">
        <v>298</v>
      </c>
      <c r="X44" s="142" t="s">
        <v>298</v>
      </c>
      <c r="AA44" s="41" t="s">
        <v>59</v>
      </c>
      <c r="AC44" s="91" t="s">
        <v>202</v>
      </c>
    </row>
    <row r="45" spans="1:29" x14ac:dyDescent="0.2">
      <c r="A45" s="91">
        <v>6</v>
      </c>
      <c r="B45" s="91" t="s">
        <v>343</v>
      </c>
      <c r="C45" s="92">
        <v>36938</v>
      </c>
      <c r="D45" s="41" t="s">
        <v>374</v>
      </c>
      <c r="E45" s="41" t="s">
        <v>14</v>
      </c>
      <c r="F45" s="41" t="s">
        <v>19</v>
      </c>
      <c r="G45" s="91" t="s">
        <v>329</v>
      </c>
      <c r="H45" s="41" t="s">
        <v>334</v>
      </c>
      <c r="I45" s="93">
        <v>0</v>
      </c>
      <c r="J45" s="140">
        <f t="shared" si="23"/>
        <v>0</v>
      </c>
      <c r="K45" s="95">
        <v>37043</v>
      </c>
      <c r="L45" s="96">
        <v>21081</v>
      </c>
      <c r="M45" s="97" t="s">
        <v>25</v>
      </c>
      <c r="N45" s="98">
        <v>9.58</v>
      </c>
      <c r="O45" s="141">
        <f t="shared" si="24"/>
        <v>201955.98</v>
      </c>
      <c r="P45" s="108">
        <v>0.04</v>
      </c>
      <c r="Q45" s="166">
        <f t="shared" si="25"/>
        <v>843.24</v>
      </c>
      <c r="S45" s="143">
        <f t="shared" si="26"/>
        <v>0</v>
      </c>
      <c r="T45" s="143">
        <f t="shared" si="27"/>
        <v>0</v>
      </c>
      <c r="V45" s="142" t="s">
        <v>298</v>
      </c>
      <c r="W45" s="142" t="s">
        <v>298</v>
      </c>
      <c r="X45" s="142" t="s">
        <v>298</v>
      </c>
      <c r="AA45" s="41" t="s">
        <v>59</v>
      </c>
      <c r="AC45" s="91" t="s">
        <v>202</v>
      </c>
    </row>
    <row r="46" spans="1:29" x14ac:dyDescent="0.2">
      <c r="A46" s="91">
        <v>6</v>
      </c>
      <c r="B46" s="91" t="s">
        <v>343</v>
      </c>
      <c r="C46" s="92">
        <v>36938</v>
      </c>
      <c r="D46" s="41" t="s">
        <v>374</v>
      </c>
      <c r="E46" s="41" t="s">
        <v>14</v>
      </c>
      <c r="F46" s="41" t="s">
        <v>19</v>
      </c>
      <c r="G46" s="91" t="s">
        <v>329</v>
      </c>
      <c r="H46" s="41" t="s">
        <v>334</v>
      </c>
      <c r="I46" s="93">
        <v>0</v>
      </c>
      <c r="J46" s="140">
        <f t="shared" si="23"/>
        <v>0</v>
      </c>
      <c r="K46" s="95">
        <v>37073</v>
      </c>
      <c r="L46" s="96">
        <v>21081</v>
      </c>
      <c r="M46" s="97" t="s">
        <v>25</v>
      </c>
      <c r="N46" s="98">
        <v>9.58</v>
      </c>
      <c r="O46" s="141">
        <f t="shared" si="24"/>
        <v>201955.98</v>
      </c>
      <c r="P46" s="108">
        <v>0.04</v>
      </c>
      <c r="Q46" s="166">
        <f t="shared" si="25"/>
        <v>843.24</v>
      </c>
      <c r="S46" s="143">
        <f t="shared" si="26"/>
        <v>0</v>
      </c>
      <c r="T46" s="143">
        <f t="shared" si="27"/>
        <v>0</v>
      </c>
      <c r="V46" s="142" t="s">
        <v>298</v>
      </c>
      <c r="W46" s="142" t="s">
        <v>298</v>
      </c>
      <c r="X46" s="142" t="s">
        <v>298</v>
      </c>
      <c r="AA46" s="41" t="s">
        <v>59</v>
      </c>
      <c r="AC46" s="91" t="s">
        <v>202</v>
      </c>
    </row>
    <row r="47" spans="1:29" x14ac:dyDescent="0.2">
      <c r="A47" s="91">
        <v>6</v>
      </c>
      <c r="B47" s="91" t="s">
        <v>343</v>
      </c>
      <c r="C47" s="92">
        <v>36938</v>
      </c>
      <c r="D47" s="41" t="s">
        <v>374</v>
      </c>
      <c r="E47" s="41" t="s">
        <v>14</v>
      </c>
      <c r="F47" s="41" t="s">
        <v>19</v>
      </c>
      <c r="G47" s="91" t="s">
        <v>329</v>
      </c>
      <c r="H47" s="41" t="s">
        <v>334</v>
      </c>
      <c r="I47" s="93">
        <v>0</v>
      </c>
      <c r="J47" s="140">
        <f t="shared" si="23"/>
        <v>0</v>
      </c>
      <c r="K47" s="95">
        <v>37104</v>
      </c>
      <c r="L47" s="96">
        <v>21081</v>
      </c>
      <c r="M47" s="97" t="s">
        <v>25</v>
      </c>
      <c r="N47" s="98">
        <v>9.58</v>
      </c>
      <c r="O47" s="141">
        <f t="shared" si="24"/>
        <v>201955.98</v>
      </c>
      <c r="P47" s="108">
        <v>0.04</v>
      </c>
      <c r="Q47" s="166">
        <f t="shared" si="25"/>
        <v>843.24</v>
      </c>
      <c r="S47" s="143">
        <f t="shared" si="26"/>
        <v>0</v>
      </c>
      <c r="T47" s="143">
        <f t="shared" si="27"/>
        <v>0</v>
      </c>
      <c r="V47" s="142" t="s">
        <v>298</v>
      </c>
      <c r="W47" s="142" t="s">
        <v>298</v>
      </c>
      <c r="X47" s="142" t="s">
        <v>298</v>
      </c>
      <c r="AA47" s="41" t="s">
        <v>59</v>
      </c>
      <c r="AC47" s="91" t="s">
        <v>202</v>
      </c>
    </row>
    <row r="48" spans="1:29" x14ac:dyDescent="0.2">
      <c r="A48" s="91">
        <v>6</v>
      </c>
      <c r="B48" s="91" t="s">
        <v>343</v>
      </c>
      <c r="C48" s="92">
        <v>36938</v>
      </c>
      <c r="D48" s="41" t="s">
        <v>374</v>
      </c>
      <c r="E48" s="41" t="s">
        <v>14</v>
      </c>
      <c r="F48" s="41" t="s">
        <v>19</v>
      </c>
      <c r="G48" s="91" t="s">
        <v>329</v>
      </c>
      <c r="H48" s="41" t="s">
        <v>334</v>
      </c>
      <c r="I48" s="93">
        <v>0</v>
      </c>
      <c r="J48" s="140">
        <f t="shared" si="23"/>
        <v>0</v>
      </c>
      <c r="K48" s="95">
        <v>37135</v>
      </c>
      <c r="L48" s="96">
        <v>21081</v>
      </c>
      <c r="M48" s="97" t="s">
        <v>25</v>
      </c>
      <c r="N48" s="98">
        <v>9.58</v>
      </c>
      <c r="O48" s="141">
        <f t="shared" si="24"/>
        <v>201955.98</v>
      </c>
      <c r="P48" s="108">
        <v>0.04</v>
      </c>
      <c r="Q48" s="166">
        <f t="shared" si="25"/>
        <v>843.24</v>
      </c>
      <c r="S48" s="143">
        <f t="shared" si="26"/>
        <v>0</v>
      </c>
      <c r="T48" s="143">
        <f t="shared" si="27"/>
        <v>0</v>
      </c>
      <c r="V48" s="142" t="s">
        <v>298</v>
      </c>
      <c r="W48" s="142" t="s">
        <v>298</v>
      </c>
      <c r="X48" s="142" t="s">
        <v>298</v>
      </c>
      <c r="AA48" s="41" t="s">
        <v>59</v>
      </c>
      <c r="AC48" s="91" t="s">
        <v>202</v>
      </c>
    </row>
    <row r="50" spans="1:27" x14ac:dyDescent="0.2">
      <c r="A50" s="91">
        <v>7</v>
      </c>
      <c r="B50" s="91" t="s">
        <v>344</v>
      </c>
      <c r="C50" s="92">
        <v>36944</v>
      </c>
      <c r="D50" s="41" t="s">
        <v>35</v>
      </c>
      <c r="E50" s="41" t="s">
        <v>14</v>
      </c>
      <c r="F50" s="41" t="s">
        <v>347</v>
      </c>
      <c r="G50" s="91" t="s">
        <v>329</v>
      </c>
      <c r="H50" s="41" t="s">
        <v>334</v>
      </c>
      <c r="I50" s="93">
        <v>0</v>
      </c>
      <c r="J50" s="140">
        <f>+I50*L50</f>
        <v>0</v>
      </c>
      <c r="K50" s="95">
        <v>36951</v>
      </c>
      <c r="L50" s="96">
        <v>16280</v>
      </c>
      <c r="M50" s="97" t="s">
        <v>25</v>
      </c>
      <c r="N50" s="98">
        <v>5.0049999999999999</v>
      </c>
      <c r="O50" s="141">
        <f>L50*N50</f>
        <v>81481.399999999994</v>
      </c>
      <c r="P50" s="108">
        <v>2.2499999999999999E-2</v>
      </c>
      <c r="Q50" s="166">
        <f>P50*L50</f>
        <v>366.3</v>
      </c>
      <c r="S50" s="143">
        <f>VLOOKUP(K50,Prices,HLOOKUP(F50,Column,2))</f>
        <v>4.7450000000000001</v>
      </c>
      <c r="T50" s="143">
        <f>IF(S50=0,VLOOKUP(K50,FWD_Prices,HLOOKUP(F50,Column,2)),0)</f>
        <v>0</v>
      </c>
      <c r="V50" s="142" t="s">
        <v>298</v>
      </c>
      <c r="W50" s="142" t="s">
        <v>298</v>
      </c>
      <c r="X50" s="142" t="s">
        <v>298</v>
      </c>
      <c r="AA50" s="41" t="s">
        <v>60</v>
      </c>
    </row>
    <row r="51" spans="1:27" x14ac:dyDescent="0.2">
      <c r="A51" s="91">
        <v>7</v>
      </c>
      <c r="B51" s="91" t="s">
        <v>344</v>
      </c>
      <c r="C51" s="92">
        <v>36944</v>
      </c>
      <c r="D51" s="41" t="s">
        <v>35</v>
      </c>
      <c r="E51" s="41" t="s">
        <v>14</v>
      </c>
      <c r="F51" s="41" t="s">
        <v>347</v>
      </c>
      <c r="G51" s="91" t="s">
        <v>329</v>
      </c>
      <c r="H51" s="41" t="s">
        <v>334</v>
      </c>
      <c r="I51" s="93">
        <v>0</v>
      </c>
      <c r="J51" s="140">
        <f t="shared" ref="J51:J59" si="28">+I51*L51</f>
        <v>0</v>
      </c>
      <c r="K51" s="95">
        <v>36982</v>
      </c>
      <c r="L51" s="96">
        <v>16280</v>
      </c>
      <c r="M51" s="97" t="s">
        <v>25</v>
      </c>
      <c r="N51" s="98">
        <v>5.0049999999999999</v>
      </c>
      <c r="O51" s="141">
        <f t="shared" ref="O51:O59" si="29">L51*N51</f>
        <v>81481.399999999994</v>
      </c>
      <c r="P51" s="108">
        <v>2.2499999999999999E-2</v>
      </c>
      <c r="Q51" s="166">
        <f t="shared" ref="Q51:Q59" si="30">P51*L51</f>
        <v>366.3</v>
      </c>
      <c r="S51" s="143">
        <f t="shared" ref="S51:S59" si="31">VLOOKUP(K51,Prices,HLOOKUP(F51,Column,2))</f>
        <v>0</v>
      </c>
      <c r="T51" s="143">
        <f t="shared" ref="T51:T59" si="32">IF(S51=0,VLOOKUP(K51,FWD_Prices,HLOOKUP(F51,Column,2)),0)</f>
        <v>0</v>
      </c>
      <c r="V51" s="142" t="s">
        <v>298</v>
      </c>
      <c r="W51" s="142" t="s">
        <v>298</v>
      </c>
      <c r="X51" s="142" t="s">
        <v>298</v>
      </c>
      <c r="AA51" s="41" t="s">
        <v>60</v>
      </c>
    </row>
    <row r="52" spans="1:27" x14ac:dyDescent="0.2">
      <c r="A52" s="91">
        <v>7</v>
      </c>
      <c r="B52" s="91" t="s">
        <v>344</v>
      </c>
      <c r="C52" s="92">
        <v>36944</v>
      </c>
      <c r="D52" s="41" t="s">
        <v>35</v>
      </c>
      <c r="E52" s="41" t="s">
        <v>14</v>
      </c>
      <c r="F52" s="41" t="s">
        <v>347</v>
      </c>
      <c r="G52" s="91" t="s">
        <v>329</v>
      </c>
      <c r="H52" s="41" t="s">
        <v>334</v>
      </c>
      <c r="I52" s="93">
        <v>0</v>
      </c>
      <c r="J52" s="140">
        <f t="shared" si="28"/>
        <v>0</v>
      </c>
      <c r="K52" s="95">
        <v>37012</v>
      </c>
      <c r="L52" s="96">
        <v>16280</v>
      </c>
      <c r="M52" s="97" t="s">
        <v>25</v>
      </c>
      <c r="N52" s="98">
        <v>5.0049999999999999</v>
      </c>
      <c r="O52" s="141">
        <f t="shared" si="29"/>
        <v>81481.399999999994</v>
      </c>
      <c r="P52" s="108">
        <v>2.2499999999999999E-2</v>
      </c>
      <c r="Q52" s="166">
        <f t="shared" si="30"/>
        <v>366.3</v>
      </c>
      <c r="S52" s="143">
        <f t="shared" si="31"/>
        <v>0</v>
      </c>
      <c r="T52" s="143">
        <f t="shared" si="32"/>
        <v>0</v>
      </c>
      <c r="V52" s="142" t="s">
        <v>298</v>
      </c>
      <c r="W52" s="142" t="s">
        <v>298</v>
      </c>
      <c r="X52" s="142" t="s">
        <v>298</v>
      </c>
      <c r="AA52" s="41" t="s">
        <v>60</v>
      </c>
    </row>
    <row r="53" spans="1:27" x14ac:dyDescent="0.2">
      <c r="A53" s="91">
        <v>7</v>
      </c>
      <c r="B53" s="91" t="s">
        <v>344</v>
      </c>
      <c r="C53" s="92">
        <v>36944</v>
      </c>
      <c r="D53" s="41" t="s">
        <v>35</v>
      </c>
      <c r="E53" s="41" t="s">
        <v>14</v>
      </c>
      <c r="F53" s="41" t="s">
        <v>347</v>
      </c>
      <c r="G53" s="91" t="s">
        <v>329</v>
      </c>
      <c r="H53" s="41" t="s">
        <v>334</v>
      </c>
      <c r="I53" s="93">
        <v>0</v>
      </c>
      <c r="J53" s="140">
        <f t="shared" si="28"/>
        <v>0</v>
      </c>
      <c r="K53" s="95">
        <v>37043</v>
      </c>
      <c r="L53" s="96">
        <v>16280</v>
      </c>
      <c r="M53" s="97" t="s">
        <v>25</v>
      </c>
      <c r="N53" s="98">
        <v>5.0049999999999999</v>
      </c>
      <c r="O53" s="141">
        <f t="shared" si="29"/>
        <v>81481.399999999994</v>
      </c>
      <c r="P53" s="108">
        <v>2.2499999999999999E-2</v>
      </c>
      <c r="Q53" s="166">
        <f t="shared" si="30"/>
        <v>366.3</v>
      </c>
      <c r="S53" s="143">
        <f t="shared" si="31"/>
        <v>0</v>
      </c>
      <c r="T53" s="143">
        <f t="shared" si="32"/>
        <v>0</v>
      </c>
      <c r="V53" s="142" t="s">
        <v>298</v>
      </c>
      <c r="W53" s="142" t="s">
        <v>298</v>
      </c>
      <c r="X53" s="142" t="s">
        <v>298</v>
      </c>
      <c r="AA53" s="41" t="s">
        <v>60</v>
      </c>
    </row>
    <row r="54" spans="1:27" x14ac:dyDescent="0.2">
      <c r="A54" s="91">
        <v>7</v>
      </c>
      <c r="B54" s="91" t="s">
        <v>344</v>
      </c>
      <c r="C54" s="92">
        <v>36944</v>
      </c>
      <c r="D54" s="41" t="s">
        <v>35</v>
      </c>
      <c r="E54" s="41" t="s">
        <v>14</v>
      </c>
      <c r="F54" s="41" t="s">
        <v>347</v>
      </c>
      <c r="G54" s="91" t="s">
        <v>329</v>
      </c>
      <c r="H54" s="41" t="s">
        <v>334</v>
      </c>
      <c r="I54" s="93">
        <v>0</v>
      </c>
      <c r="J54" s="140">
        <f t="shared" si="28"/>
        <v>0</v>
      </c>
      <c r="K54" s="95">
        <v>37073</v>
      </c>
      <c r="L54" s="96">
        <v>16280</v>
      </c>
      <c r="M54" s="97" t="s">
        <v>25</v>
      </c>
      <c r="N54" s="98">
        <v>5.0049999999999999</v>
      </c>
      <c r="O54" s="141">
        <f t="shared" si="29"/>
        <v>81481.399999999994</v>
      </c>
      <c r="P54" s="108">
        <v>2.2499999999999999E-2</v>
      </c>
      <c r="Q54" s="166">
        <f t="shared" si="30"/>
        <v>366.3</v>
      </c>
      <c r="S54" s="143">
        <f t="shared" si="31"/>
        <v>0</v>
      </c>
      <c r="T54" s="143">
        <f t="shared" si="32"/>
        <v>0</v>
      </c>
      <c r="V54" s="142" t="s">
        <v>298</v>
      </c>
      <c r="W54" s="142" t="s">
        <v>298</v>
      </c>
      <c r="X54" s="142" t="s">
        <v>298</v>
      </c>
      <c r="AA54" s="41" t="s">
        <v>60</v>
      </c>
    </row>
    <row r="55" spans="1:27" x14ac:dyDescent="0.2">
      <c r="A55" s="91">
        <v>7</v>
      </c>
      <c r="B55" s="91" t="s">
        <v>344</v>
      </c>
      <c r="C55" s="92">
        <v>36944</v>
      </c>
      <c r="D55" s="41" t="s">
        <v>35</v>
      </c>
      <c r="E55" s="41" t="s">
        <v>14</v>
      </c>
      <c r="F55" s="41" t="s">
        <v>347</v>
      </c>
      <c r="G55" s="91" t="s">
        <v>329</v>
      </c>
      <c r="H55" s="41" t="s">
        <v>334</v>
      </c>
      <c r="I55" s="93">
        <v>0</v>
      </c>
      <c r="J55" s="140">
        <f t="shared" si="28"/>
        <v>0</v>
      </c>
      <c r="K55" s="95">
        <v>37104</v>
      </c>
      <c r="L55" s="96">
        <v>16280</v>
      </c>
      <c r="M55" s="97" t="s">
        <v>25</v>
      </c>
      <c r="N55" s="98">
        <v>5.0049999999999999</v>
      </c>
      <c r="O55" s="141">
        <f t="shared" si="29"/>
        <v>81481.399999999994</v>
      </c>
      <c r="P55" s="108">
        <v>2.2499999999999999E-2</v>
      </c>
      <c r="Q55" s="166">
        <f t="shared" si="30"/>
        <v>366.3</v>
      </c>
      <c r="S55" s="143">
        <f t="shared" si="31"/>
        <v>0</v>
      </c>
      <c r="T55" s="143">
        <f t="shared" si="32"/>
        <v>0</v>
      </c>
      <c r="V55" s="142" t="s">
        <v>298</v>
      </c>
      <c r="W55" s="142" t="s">
        <v>298</v>
      </c>
      <c r="X55" s="142" t="s">
        <v>298</v>
      </c>
      <c r="AA55" s="41" t="s">
        <v>60</v>
      </c>
    </row>
    <row r="56" spans="1:27" x14ac:dyDescent="0.2">
      <c r="A56" s="91">
        <v>7</v>
      </c>
      <c r="B56" s="91" t="s">
        <v>344</v>
      </c>
      <c r="C56" s="92">
        <v>36944</v>
      </c>
      <c r="D56" s="41" t="s">
        <v>35</v>
      </c>
      <c r="E56" s="41" t="s">
        <v>14</v>
      </c>
      <c r="F56" s="41" t="s">
        <v>347</v>
      </c>
      <c r="G56" s="91" t="s">
        <v>329</v>
      </c>
      <c r="H56" s="41" t="s">
        <v>334</v>
      </c>
      <c r="I56" s="93">
        <v>0</v>
      </c>
      <c r="J56" s="140">
        <f t="shared" si="28"/>
        <v>0</v>
      </c>
      <c r="K56" s="95">
        <v>37135</v>
      </c>
      <c r="L56" s="96">
        <v>16280</v>
      </c>
      <c r="M56" s="97" t="s">
        <v>25</v>
      </c>
      <c r="N56" s="98">
        <v>5.0049999999999999</v>
      </c>
      <c r="O56" s="141">
        <f t="shared" si="29"/>
        <v>81481.399999999994</v>
      </c>
      <c r="P56" s="108">
        <v>2.2499999999999999E-2</v>
      </c>
      <c r="Q56" s="166">
        <f t="shared" si="30"/>
        <v>366.3</v>
      </c>
      <c r="S56" s="143">
        <f t="shared" si="31"/>
        <v>0</v>
      </c>
      <c r="T56" s="143">
        <f t="shared" si="32"/>
        <v>0</v>
      </c>
      <c r="V56" s="142" t="s">
        <v>298</v>
      </c>
      <c r="W56" s="142" t="s">
        <v>298</v>
      </c>
      <c r="X56" s="142" t="s">
        <v>298</v>
      </c>
      <c r="AA56" s="41" t="s">
        <v>60</v>
      </c>
    </row>
    <row r="57" spans="1:27" x14ac:dyDescent="0.2">
      <c r="A57" s="91">
        <v>7</v>
      </c>
      <c r="B57" s="91" t="s">
        <v>344</v>
      </c>
      <c r="C57" s="92">
        <v>36944</v>
      </c>
      <c r="D57" s="41" t="s">
        <v>35</v>
      </c>
      <c r="E57" s="41" t="s">
        <v>14</v>
      </c>
      <c r="F57" s="41" t="s">
        <v>347</v>
      </c>
      <c r="G57" s="91" t="s">
        <v>329</v>
      </c>
      <c r="H57" s="41" t="s">
        <v>334</v>
      </c>
      <c r="I57" s="93">
        <v>0</v>
      </c>
      <c r="J57" s="140">
        <f t="shared" si="28"/>
        <v>0</v>
      </c>
      <c r="K57" s="95">
        <v>37165</v>
      </c>
      <c r="L57" s="96">
        <v>16280</v>
      </c>
      <c r="M57" s="97" t="s">
        <v>25</v>
      </c>
      <c r="N57" s="98">
        <v>5.0049999999999999</v>
      </c>
      <c r="O57" s="141">
        <f t="shared" si="29"/>
        <v>81481.399999999994</v>
      </c>
      <c r="P57" s="108">
        <v>2.2499999999999999E-2</v>
      </c>
      <c r="Q57" s="166">
        <f t="shared" si="30"/>
        <v>366.3</v>
      </c>
      <c r="S57" s="143">
        <f t="shared" si="31"/>
        <v>0</v>
      </c>
      <c r="T57" s="143">
        <f t="shared" si="32"/>
        <v>0</v>
      </c>
      <c r="V57" s="142" t="s">
        <v>298</v>
      </c>
      <c r="W57" s="142" t="s">
        <v>298</v>
      </c>
      <c r="X57" s="142" t="s">
        <v>298</v>
      </c>
      <c r="AA57" s="41" t="s">
        <v>60</v>
      </c>
    </row>
    <row r="58" spans="1:27" x14ac:dyDescent="0.2">
      <c r="A58" s="91">
        <v>7</v>
      </c>
      <c r="B58" s="91" t="s">
        <v>344</v>
      </c>
      <c r="C58" s="92">
        <v>36944</v>
      </c>
      <c r="D58" s="41" t="s">
        <v>35</v>
      </c>
      <c r="E58" s="41" t="s">
        <v>14</v>
      </c>
      <c r="F58" s="41" t="s">
        <v>347</v>
      </c>
      <c r="G58" s="91" t="s">
        <v>329</v>
      </c>
      <c r="H58" s="41" t="s">
        <v>334</v>
      </c>
      <c r="I58" s="93">
        <v>0</v>
      </c>
      <c r="J58" s="140">
        <f t="shared" si="28"/>
        <v>0</v>
      </c>
      <c r="K58" s="95">
        <v>37196</v>
      </c>
      <c r="L58" s="96">
        <v>16280</v>
      </c>
      <c r="M58" s="97" t="s">
        <v>25</v>
      </c>
      <c r="N58" s="98">
        <v>5.0049999999999999</v>
      </c>
      <c r="O58" s="141">
        <f t="shared" si="29"/>
        <v>81481.399999999994</v>
      </c>
      <c r="P58" s="108">
        <v>2.2499999999999999E-2</v>
      </c>
      <c r="Q58" s="166">
        <f t="shared" si="30"/>
        <v>366.3</v>
      </c>
      <c r="S58" s="143">
        <f t="shared" si="31"/>
        <v>0</v>
      </c>
      <c r="T58" s="143">
        <f t="shared" si="32"/>
        <v>0</v>
      </c>
      <c r="V58" s="142" t="s">
        <v>298</v>
      </c>
      <c r="W58" s="142" t="s">
        <v>298</v>
      </c>
      <c r="X58" s="142" t="s">
        <v>298</v>
      </c>
      <c r="AA58" s="41" t="s">
        <v>60</v>
      </c>
    </row>
    <row r="59" spans="1:27" x14ac:dyDescent="0.2">
      <c r="A59" s="91">
        <v>7</v>
      </c>
      <c r="B59" s="91" t="s">
        <v>344</v>
      </c>
      <c r="C59" s="92">
        <v>36944</v>
      </c>
      <c r="D59" s="41" t="s">
        <v>35</v>
      </c>
      <c r="E59" s="41" t="s">
        <v>14</v>
      </c>
      <c r="F59" s="41" t="s">
        <v>347</v>
      </c>
      <c r="G59" s="91" t="s">
        <v>329</v>
      </c>
      <c r="H59" s="41" t="s">
        <v>334</v>
      </c>
      <c r="I59" s="93">
        <v>0</v>
      </c>
      <c r="J59" s="140">
        <f t="shared" si="28"/>
        <v>0</v>
      </c>
      <c r="K59" s="95">
        <v>37226</v>
      </c>
      <c r="L59" s="96">
        <v>16280</v>
      </c>
      <c r="M59" s="97" t="s">
        <v>25</v>
      </c>
      <c r="N59" s="98">
        <v>5.0049999999999999</v>
      </c>
      <c r="O59" s="141">
        <f t="shared" si="29"/>
        <v>81481.399999999994</v>
      </c>
      <c r="P59" s="108">
        <v>2.2499999999999999E-2</v>
      </c>
      <c r="Q59" s="166">
        <f t="shared" si="30"/>
        <v>366.3</v>
      </c>
      <c r="S59" s="143">
        <f t="shared" si="31"/>
        <v>0</v>
      </c>
      <c r="T59" s="143">
        <f t="shared" si="32"/>
        <v>0</v>
      </c>
      <c r="V59" s="142" t="s">
        <v>298</v>
      </c>
      <c r="W59" s="142" t="s">
        <v>298</v>
      </c>
      <c r="X59" s="142" t="s">
        <v>298</v>
      </c>
      <c r="AA59" s="41" t="s">
        <v>60</v>
      </c>
    </row>
    <row r="61" spans="1:27" x14ac:dyDescent="0.2">
      <c r="A61" s="91">
        <v>8</v>
      </c>
      <c r="B61" s="91" t="s">
        <v>345</v>
      </c>
      <c r="C61" s="92">
        <v>36944</v>
      </c>
      <c r="D61" s="41" t="s">
        <v>346</v>
      </c>
      <c r="E61" s="41" t="s">
        <v>14</v>
      </c>
      <c r="F61" s="41" t="s">
        <v>21</v>
      </c>
      <c r="G61" s="91" t="s">
        <v>329</v>
      </c>
      <c r="H61" s="41" t="s">
        <v>334</v>
      </c>
      <c r="I61" s="93">
        <v>0</v>
      </c>
      <c r="J61" s="140">
        <f>+I61*L61</f>
        <v>0</v>
      </c>
      <c r="K61" s="95">
        <v>37347</v>
      </c>
      <c r="L61" s="96">
        <f>18427*31</f>
        <v>571237</v>
      </c>
      <c r="M61" s="97" t="s">
        <v>25</v>
      </c>
      <c r="N61" s="98">
        <v>4.3</v>
      </c>
      <c r="O61" s="141">
        <f>L61*N61</f>
        <v>2456319.1</v>
      </c>
      <c r="P61" s="108">
        <v>0.01</v>
      </c>
      <c r="Q61" s="166">
        <f>P61*L61</f>
        <v>5712.37</v>
      </c>
      <c r="S61" s="143">
        <f>VLOOKUP(K61,Prices,HLOOKUP(F61,Column,2))</f>
        <v>0</v>
      </c>
      <c r="T61" s="143">
        <f>IF(S61=0,VLOOKUP(K61,FWD_Prices,HLOOKUP(F61,Column,2)),0)</f>
        <v>0</v>
      </c>
      <c r="V61" s="142">
        <f>IF(H61="Swap",S61-N61,IF(H61="Call",MAX(S61-N61,0),IF(H61="Put",MAX(N61-S61,0),"Error on Structure")))
* IF(G61="Buy",1,IF(G61="Sell",-1,"Error on Buy/Sell"))
* L61
* IF(S61=0,0,1)</f>
        <v>0</v>
      </c>
      <c r="W61" s="142">
        <f>IF(H61="Swap",T61-N61,IF(H61="Call",MAX(T61-N61,0),IF(H61="Put",MAX(N61-T61,0),"Error on Structure")))
* IF(G61="Buy",1,IF(G61="Sell",-1,"Error on Buy/Sell"))
* L61
* IF(T61=0,0,1)</f>
        <v>0</v>
      </c>
      <c r="X61" s="144">
        <f>SUM(V61:W61)</f>
        <v>0</v>
      </c>
      <c r="AA61" s="41" t="s">
        <v>208</v>
      </c>
    </row>
    <row r="62" spans="1:27" x14ac:dyDescent="0.2">
      <c r="A62" s="91">
        <v>8</v>
      </c>
      <c r="B62" s="91" t="s">
        <v>345</v>
      </c>
      <c r="C62" s="92">
        <v>36944</v>
      </c>
      <c r="D62" s="41" t="s">
        <v>346</v>
      </c>
      <c r="E62" s="41" t="s">
        <v>14</v>
      </c>
      <c r="F62" s="41" t="s">
        <v>21</v>
      </c>
      <c r="G62" s="91" t="s">
        <v>329</v>
      </c>
      <c r="H62" s="41" t="s">
        <v>334</v>
      </c>
      <c r="I62" s="93">
        <v>0</v>
      </c>
      <c r="J62" s="140">
        <f t="shared" ref="J62:J81" si="33">+I62*L62</f>
        <v>0</v>
      </c>
      <c r="K62" s="95">
        <v>37377</v>
      </c>
      <c r="L62" s="96">
        <f>18427*30</f>
        <v>552810</v>
      </c>
      <c r="M62" s="97" t="s">
        <v>25</v>
      </c>
      <c r="N62" s="98">
        <v>4.3</v>
      </c>
      <c r="O62" s="141">
        <f t="shared" ref="O62:O81" si="34">L62*N62</f>
        <v>2377083</v>
      </c>
      <c r="P62" s="108">
        <v>0.01</v>
      </c>
      <c r="Q62" s="166">
        <f t="shared" ref="Q62:Q81" si="35">P62*L62</f>
        <v>5528.1</v>
      </c>
      <c r="S62" s="143">
        <f t="shared" ref="S62:S81" si="36">VLOOKUP(K62,Prices,HLOOKUP(F62,Column,2))</f>
        <v>0</v>
      </c>
      <c r="T62" s="143">
        <f t="shared" ref="T62:T81" si="37">IF(S62=0,VLOOKUP(K62,FWD_Prices,HLOOKUP(F62,Column,2)),0)</f>
        <v>0</v>
      </c>
      <c r="V62" s="142">
        <f t="shared" ref="V62:V81" si="38">IF(H62="Swap",S62-N62,IF(H62="Call",MAX(S62-N62,0),IF(H62="Put",MAX(N62-S62,0),"Error on Structure")))
* IF(G62="Buy",1,IF(G62="Sell",-1,"Error on Buy/Sell"))
* L62
* IF(S62=0,0,1)</f>
        <v>0</v>
      </c>
      <c r="W62" s="142">
        <f t="shared" ref="W62:W81" si="39">IF(H62="Swap",T62-N62,IF(H62="Call",MAX(T62-N62,0),IF(H62="Put",MAX(N62-T62,0),"Error on Structure")))
* IF(G62="Buy",1,IF(G62="Sell",-1,"Error on Buy/Sell"))
* L62
* IF(T62=0,0,1)</f>
        <v>0</v>
      </c>
      <c r="X62" s="144">
        <f t="shared" ref="X62:X81" si="40">SUM(V62:W62)</f>
        <v>0</v>
      </c>
      <c r="AA62" s="41" t="s">
        <v>208</v>
      </c>
    </row>
    <row r="63" spans="1:27" x14ac:dyDescent="0.2">
      <c r="A63" s="91">
        <v>8</v>
      </c>
      <c r="B63" s="91" t="s">
        <v>345</v>
      </c>
      <c r="C63" s="92">
        <v>36944</v>
      </c>
      <c r="D63" s="41" t="s">
        <v>346</v>
      </c>
      <c r="E63" s="41" t="s">
        <v>14</v>
      </c>
      <c r="F63" s="41" t="s">
        <v>21</v>
      </c>
      <c r="G63" s="91" t="s">
        <v>329</v>
      </c>
      <c r="H63" s="41" t="s">
        <v>334</v>
      </c>
      <c r="I63" s="93">
        <v>0</v>
      </c>
      <c r="J63" s="140">
        <f t="shared" si="33"/>
        <v>0</v>
      </c>
      <c r="K63" s="95">
        <v>37408</v>
      </c>
      <c r="L63" s="96">
        <f>18427*31</f>
        <v>571237</v>
      </c>
      <c r="M63" s="97" t="s">
        <v>25</v>
      </c>
      <c r="N63" s="98">
        <v>4.3</v>
      </c>
      <c r="O63" s="141">
        <f t="shared" si="34"/>
        <v>2456319.1</v>
      </c>
      <c r="P63" s="108">
        <v>0.01</v>
      </c>
      <c r="Q63" s="166">
        <f t="shared" si="35"/>
        <v>5712.37</v>
      </c>
      <c r="S63" s="143">
        <f t="shared" si="36"/>
        <v>0</v>
      </c>
      <c r="T63" s="143">
        <f t="shared" si="37"/>
        <v>0</v>
      </c>
      <c r="V63" s="142">
        <f t="shared" si="38"/>
        <v>0</v>
      </c>
      <c r="W63" s="142">
        <f t="shared" si="39"/>
        <v>0</v>
      </c>
      <c r="X63" s="144">
        <f t="shared" si="40"/>
        <v>0</v>
      </c>
      <c r="AA63" s="41" t="s">
        <v>208</v>
      </c>
    </row>
    <row r="64" spans="1:27" x14ac:dyDescent="0.2">
      <c r="A64" s="91">
        <v>8</v>
      </c>
      <c r="B64" s="91" t="s">
        <v>345</v>
      </c>
      <c r="C64" s="92">
        <v>36944</v>
      </c>
      <c r="D64" s="41" t="s">
        <v>346</v>
      </c>
      <c r="E64" s="41" t="s">
        <v>14</v>
      </c>
      <c r="F64" s="41" t="s">
        <v>21</v>
      </c>
      <c r="G64" s="91" t="s">
        <v>329</v>
      </c>
      <c r="H64" s="41" t="s">
        <v>334</v>
      </c>
      <c r="I64" s="93">
        <v>0</v>
      </c>
      <c r="J64" s="140">
        <f t="shared" si="33"/>
        <v>0</v>
      </c>
      <c r="K64" s="95">
        <v>37438</v>
      </c>
      <c r="L64" s="96">
        <f>18427*31</f>
        <v>571237</v>
      </c>
      <c r="M64" s="97" t="s">
        <v>25</v>
      </c>
      <c r="N64" s="98">
        <v>4.3</v>
      </c>
      <c r="O64" s="141">
        <f t="shared" si="34"/>
        <v>2456319.1</v>
      </c>
      <c r="P64" s="108">
        <v>0.01</v>
      </c>
      <c r="Q64" s="166">
        <f t="shared" si="35"/>
        <v>5712.37</v>
      </c>
      <c r="S64" s="143">
        <f t="shared" si="36"/>
        <v>0</v>
      </c>
      <c r="T64" s="143">
        <f t="shared" si="37"/>
        <v>0</v>
      </c>
      <c r="V64" s="142">
        <f t="shared" si="38"/>
        <v>0</v>
      </c>
      <c r="W64" s="142">
        <f t="shared" si="39"/>
        <v>0</v>
      </c>
      <c r="X64" s="144">
        <f t="shared" si="40"/>
        <v>0</v>
      </c>
      <c r="AA64" s="41" t="s">
        <v>208</v>
      </c>
    </row>
    <row r="65" spans="1:27" x14ac:dyDescent="0.2">
      <c r="A65" s="91">
        <v>8</v>
      </c>
      <c r="B65" s="91" t="s">
        <v>345</v>
      </c>
      <c r="C65" s="92">
        <v>36944</v>
      </c>
      <c r="D65" s="41" t="s">
        <v>346</v>
      </c>
      <c r="E65" s="41" t="s">
        <v>14</v>
      </c>
      <c r="F65" s="41" t="s">
        <v>21</v>
      </c>
      <c r="G65" s="91" t="s">
        <v>329</v>
      </c>
      <c r="H65" s="41" t="s">
        <v>334</v>
      </c>
      <c r="I65" s="93">
        <v>0</v>
      </c>
      <c r="J65" s="140">
        <f t="shared" si="33"/>
        <v>0</v>
      </c>
      <c r="K65" s="95">
        <v>37469</v>
      </c>
      <c r="L65" s="96">
        <f>18427*30</f>
        <v>552810</v>
      </c>
      <c r="M65" s="97" t="s">
        <v>25</v>
      </c>
      <c r="N65" s="98">
        <v>4.3</v>
      </c>
      <c r="O65" s="141">
        <f t="shared" si="34"/>
        <v>2377083</v>
      </c>
      <c r="P65" s="108">
        <v>0.01</v>
      </c>
      <c r="Q65" s="166">
        <f t="shared" si="35"/>
        <v>5528.1</v>
      </c>
      <c r="S65" s="143">
        <f t="shared" si="36"/>
        <v>0</v>
      </c>
      <c r="T65" s="143">
        <f t="shared" si="37"/>
        <v>0</v>
      </c>
      <c r="V65" s="142">
        <f t="shared" si="38"/>
        <v>0</v>
      </c>
      <c r="W65" s="142">
        <f t="shared" si="39"/>
        <v>0</v>
      </c>
      <c r="X65" s="144">
        <f t="shared" si="40"/>
        <v>0</v>
      </c>
      <c r="AA65" s="41" t="s">
        <v>208</v>
      </c>
    </row>
    <row r="66" spans="1:27" x14ac:dyDescent="0.2">
      <c r="A66" s="91">
        <v>8</v>
      </c>
      <c r="B66" s="91" t="s">
        <v>345</v>
      </c>
      <c r="C66" s="92">
        <v>36944</v>
      </c>
      <c r="D66" s="41" t="s">
        <v>346</v>
      </c>
      <c r="E66" s="41" t="s">
        <v>14</v>
      </c>
      <c r="F66" s="41" t="s">
        <v>21</v>
      </c>
      <c r="G66" s="91" t="s">
        <v>329</v>
      </c>
      <c r="H66" s="41" t="s">
        <v>334</v>
      </c>
      <c r="I66" s="93">
        <v>0</v>
      </c>
      <c r="J66" s="140">
        <f t="shared" si="33"/>
        <v>0</v>
      </c>
      <c r="K66" s="95">
        <v>37500</v>
      </c>
      <c r="L66" s="96">
        <f>18427*31</f>
        <v>571237</v>
      </c>
      <c r="M66" s="97" t="s">
        <v>25</v>
      </c>
      <c r="N66" s="98">
        <v>4.3</v>
      </c>
      <c r="O66" s="141">
        <f t="shared" si="34"/>
        <v>2456319.1</v>
      </c>
      <c r="P66" s="108">
        <v>0.01</v>
      </c>
      <c r="Q66" s="166">
        <f t="shared" si="35"/>
        <v>5712.37</v>
      </c>
      <c r="S66" s="143">
        <f t="shared" si="36"/>
        <v>0</v>
      </c>
      <c r="T66" s="143">
        <f t="shared" si="37"/>
        <v>0</v>
      </c>
      <c r="V66" s="142">
        <f t="shared" si="38"/>
        <v>0</v>
      </c>
      <c r="W66" s="142">
        <f t="shared" si="39"/>
        <v>0</v>
      </c>
      <c r="X66" s="144">
        <f t="shared" si="40"/>
        <v>0</v>
      </c>
      <c r="AA66" s="41" t="s">
        <v>208</v>
      </c>
    </row>
    <row r="67" spans="1:27" x14ac:dyDescent="0.2">
      <c r="A67" s="91">
        <v>8</v>
      </c>
      <c r="B67" s="91" t="s">
        <v>345</v>
      </c>
      <c r="C67" s="92">
        <v>36944</v>
      </c>
      <c r="D67" s="41" t="s">
        <v>346</v>
      </c>
      <c r="E67" s="41" t="s">
        <v>14</v>
      </c>
      <c r="F67" s="41" t="s">
        <v>21</v>
      </c>
      <c r="G67" s="91" t="s">
        <v>329</v>
      </c>
      <c r="H67" s="41" t="s">
        <v>334</v>
      </c>
      <c r="I67" s="93">
        <v>0</v>
      </c>
      <c r="J67" s="140">
        <f t="shared" si="33"/>
        <v>0</v>
      </c>
      <c r="K67" s="95">
        <v>37530</v>
      </c>
      <c r="L67" s="96">
        <f>18427*30</f>
        <v>552810</v>
      </c>
      <c r="M67" s="97" t="s">
        <v>25</v>
      </c>
      <c r="N67" s="98">
        <v>4.3</v>
      </c>
      <c r="O67" s="141">
        <f t="shared" si="34"/>
        <v>2377083</v>
      </c>
      <c r="P67" s="108">
        <v>0.01</v>
      </c>
      <c r="Q67" s="166">
        <f t="shared" si="35"/>
        <v>5528.1</v>
      </c>
      <c r="S67" s="143">
        <f t="shared" si="36"/>
        <v>0</v>
      </c>
      <c r="T67" s="143">
        <f t="shared" si="37"/>
        <v>0</v>
      </c>
      <c r="V67" s="142">
        <f t="shared" si="38"/>
        <v>0</v>
      </c>
      <c r="W67" s="142">
        <f t="shared" si="39"/>
        <v>0</v>
      </c>
      <c r="X67" s="144">
        <f t="shared" si="40"/>
        <v>0</v>
      </c>
      <c r="AA67" s="41" t="s">
        <v>208</v>
      </c>
    </row>
    <row r="68" spans="1:27" x14ac:dyDescent="0.2">
      <c r="A68" s="91">
        <v>8</v>
      </c>
      <c r="B68" s="91" t="s">
        <v>345</v>
      </c>
      <c r="C68" s="92">
        <v>36944</v>
      </c>
      <c r="D68" s="41" t="s">
        <v>346</v>
      </c>
      <c r="E68" s="41" t="s">
        <v>14</v>
      </c>
      <c r="F68" s="41" t="s">
        <v>21</v>
      </c>
      <c r="G68" s="91" t="s">
        <v>329</v>
      </c>
      <c r="H68" s="41" t="s">
        <v>334</v>
      </c>
      <c r="I68" s="93">
        <v>0</v>
      </c>
      <c r="J68" s="140">
        <f t="shared" si="33"/>
        <v>0</v>
      </c>
      <c r="K68" s="95">
        <v>37561</v>
      </c>
      <c r="L68" s="96">
        <f>18427*31</f>
        <v>571237</v>
      </c>
      <c r="M68" s="97" t="s">
        <v>25</v>
      </c>
      <c r="N68" s="98">
        <v>4.3</v>
      </c>
      <c r="O68" s="141">
        <f t="shared" si="34"/>
        <v>2456319.1</v>
      </c>
      <c r="P68" s="108">
        <v>0.01</v>
      </c>
      <c r="Q68" s="166">
        <f t="shared" si="35"/>
        <v>5712.37</v>
      </c>
      <c r="S68" s="143">
        <f t="shared" si="36"/>
        <v>0</v>
      </c>
      <c r="T68" s="143">
        <f t="shared" si="37"/>
        <v>0</v>
      </c>
      <c r="V68" s="142">
        <f t="shared" si="38"/>
        <v>0</v>
      </c>
      <c r="W68" s="142">
        <f t="shared" si="39"/>
        <v>0</v>
      </c>
      <c r="X68" s="144">
        <f t="shared" si="40"/>
        <v>0</v>
      </c>
      <c r="AA68" s="41" t="s">
        <v>208</v>
      </c>
    </row>
    <row r="69" spans="1:27" x14ac:dyDescent="0.2">
      <c r="A69" s="91">
        <v>8</v>
      </c>
      <c r="B69" s="91" t="s">
        <v>345</v>
      </c>
      <c r="C69" s="92">
        <v>36944</v>
      </c>
      <c r="D69" s="41" t="s">
        <v>346</v>
      </c>
      <c r="E69" s="41" t="s">
        <v>14</v>
      </c>
      <c r="F69" s="41" t="s">
        <v>21</v>
      </c>
      <c r="G69" s="91" t="s">
        <v>329</v>
      </c>
      <c r="H69" s="41" t="s">
        <v>334</v>
      </c>
      <c r="I69" s="93">
        <v>0</v>
      </c>
      <c r="J69" s="140">
        <f t="shared" si="33"/>
        <v>0</v>
      </c>
      <c r="K69" s="95">
        <v>37591</v>
      </c>
      <c r="L69" s="96">
        <f>18427*31</f>
        <v>571237</v>
      </c>
      <c r="M69" s="97" t="s">
        <v>25</v>
      </c>
      <c r="N69" s="98">
        <v>4.3</v>
      </c>
      <c r="O69" s="141">
        <f t="shared" si="34"/>
        <v>2456319.1</v>
      </c>
      <c r="P69" s="108">
        <v>0.01</v>
      </c>
      <c r="Q69" s="166">
        <f t="shared" si="35"/>
        <v>5712.37</v>
      </c>
      <c r="S69" s="143">
        <f t="shared" si="36"/>
        <v>0</v>
      </c>
      <c r="T69" s="143">
        <f t="shared" si="37"/>
        <v>0</v>
      </c>
      <c r="V69" s="142">
        <f t="shared" si="38"/>
        <v>0</v>
      </c>
      <c r="W69" s="142">
        <f t="shared" si="39"/>
        <v>0</v>
      </c>
      <c r="X69" s="144">
        <f t="shared" si="40"/>
        <v>0</v>
      </c>
      <c r="AA69" s="41" t="s">
        <v>208</v>
      </c>
    </row>
    <row r="70" spans="1:27" x14ac:dyDescent="0.2">
      <c r="A70" s="91">
        <v>8</v>
      </c>
      <c r="B70" s="91" t="s">
        <v>345</v>
      </c>
      <c r="C70" s="92">
        <v>36944</v>
      </c>
      <c r="D70" s="41" t="s">
        <v>346</v>
      </c>
      <c r="E70" s="41" t="s">
        <v>14</v>
      </c>
      <c r="F70" s="41" t="s">
        <v>21</v>
      </c>
      <c r="G70" s="91" t="s">
        <v>329</v>
      </c>
      <c r="H70" s="41" t="s">
        <v>334</v>
      </c>
      <c r="I70" s="93">
        <v>0</v>
      </c>
      <c r="J70" s="140">
        <f t="shared" si="33"/>
        <v>0</v>
      </c>
      <c r="K70" s="95">
        <v>37622</v>
      </c>
      <c r="L70" s="96">
        <f>18427*28</f>
        <v>515956</v>
      </c>
      <c r="M70" s="97" t="s">
        <v>25</v>
      </c>
      <c r="N70" s="98">
        <v>4.3</v>
      </c>
      <c r="O70" s="141">
        <f t="shared" si="34"/>
        <v>2218610.7999999998</v>
      </c>
      <c r="P70" s="108">
        <v>0.01</v>
      </c>
      <c r="Q70" s="166">
        <f t="shared" si="35"/>
        <v>5159.5600000000004</v>
      </c>
      <c r="S70" s="143">
        <f t="shared" si="36"/>
        <v>0</v>
      </c>
      <c r="T70" s="143">
        <f t="shared" si="37"/>
        <v>0</v>
      </c>
      <c r="V70" s="142">
        <f t="shared" si="38"/>
        <v>0</v>
      </c>
      <c r="W70" s="142">
        <f t="shared" si="39"/>
        <v>0</v>
      </c>
      <c r="X70" s="144">
        <f t="shared" si="40"/>
        <v>0</v>
      </c>
      <c r="AA70" s="41" t="s">
        <v>208</v>
      </c>
    </row>
    <row r="71" spans="1:27" x14ac:dyDescent="0.2">
      <c r="A71" s="91">
        <v>8</v>
      </c>
      <c r="B71" s="91" t="s">
        <v>345</v>
      </c>
      <c r="C71" s="92">
        <v>36944</v>
      </c>
      <c r="D71" s="41" t="s">
        <v>346</v>
      </c>
      <c r="E71" s="41" t="s">
        <v>14</v>
      </c>
      <c r="F71" s="41" t="s">
        <v>21</v>
      </c>
      <c r="G71" s="91" t="s">
        <v>329</v>
      </c>
      <c r="H71" s="41" t="s">
        <v>334</v>
      </c>
      <c r="I71" s="93">
        <v>0</v>
      </c>
      <c r="J71" s="140">
        <f t="shared" si="33"/>
        <v>0</v>
      </c>
      <c r="K71" s="95">
        <v>37653</v>
      </c>
      <c r="L71" s="96">
        <f>18427*31</f>
        <v>571237</v>
      </c>
      <c r="M71" s="97" t="s">
        <v>25</v>
      </c>
      <c r="N71" s="98">
        <v>4.3</v>
      </c>
      <c r="O71" s="141">
        <f t="shared" si="34"/>
        <v>2456319.1</v>
      </c>
      <c r="P71" s="108">
        <v>0.01</v>
      </c>
      <c r="Q71" s="166">
        <f t="shared" si="35"/>
        <v>5712.37</v>
      </c>
      <c r="S71" s="143">
        <f t="shared" si="36"/>
        <v>0</v>
      </c>
      <c r="T71" s="143">
        <f t="shared" si="37"/>
        <v>0</v>
      </c>
      <c r="V71" s="142">
        <f t="shared" si="38"/>
        <v>0</v>
      </c>
      <c r="W71" s="142">
        <f t="shared" si="39"/>
        <v>0</v>
      </c>
      <c r="X71" s="144">
        <f t="shared" si="40"/>
        <v>0</v>
      </c>
      <c r="AA71" s="41" t="s">
        <v>208</v>
      </c>
    </row>
    <row r="72" spans="1:27" x14ac:dyDescent="0.2">
      <c r="A72" s="91">
        <v>8</v>
      </c>
      <c r="B72" s="91" t="s">
        <v>345</v>
      </c>
      <c r="C72" s="92">
        <v>36944</v>
      </c>
      <c r="D72" s="41" t="s">
        <v>346</v>
      </c>
      <c r="E72" s="41" t="s">
        <v>14</v>
      </c>
      <c r="F72" s="41" t="s">
        <v>21</v>
      </c>
      <c r="G72" s="91" t="s">
        <v>329</v>
      </c>
      <c r="H72" s="41" t="s">
        <v>334</v>
      </c>
      <c r="I72" s="93">
        <v>0</v>
      </c>
      <c r="J72" s="140">
        <f t="shared" si="33"/>
        <v>0</v>
      </c>
      <c r="K72" s="95">
        <v>37681</v>
      </c>
      <c r="L72" s="96">
        <f>18427*30</f>
        <v>552810</v>
      </c>
      <c r="M72" s="97" t="s">
        <v>25</v>
      </c>
      <c r="N72" s="98">
        <v>4.3</v>
      </c>
      <c r="O72" s="141">
        <f t="shared" si="34"/>
        <v>2377083</v>
      </c>
      <c r="P72" s="108">
        <v>0.01</v>
      </c>
      <c r="Q72" s="166">
        <f t="shared" si="35"/>
        <v>5528.1</v>
      </c>
      <c r="S72" s="143">
        <f t="shared" si="36"/>
        <v>0</v>
      </c>
      <c r="T72" s="143">
        <f t="shared" si="37"/>
        <v>0</v>
      </c>
      <c r="V72" s="142">
        <f t="shared" si="38"/>
        <v>0</v>
      </c>
      <c r="W72" s="142">
        <f t="shared" si="39"/>
        <v>0</v>
      </c>
      <c r="X72" s="144">
        <f t="shared" si="40"/>
        <v>0</v>
      </c>
      <c r="AA72" s="41" t="s">
        <v>208</v>
      </c>
    </row>
    <row r="73" spans="1:27" x14ac:dyDescent="0.2">
      <c r="A73" s="91">
        <v>8</v>
      </c>
      <c r="B73" s="91" t="s">
        <v>345</v>
      </c>
      <c r="C73" s="92">
        <v>36944</v>
      </c>
      <c r="D73" s="41" t="s">
        <v>346</v>
      </c>
      <c r="E73" s="41" t="s">
        <v>14</v>
      </c>
      <c r="F73" s="41" t="s">
        <v>21</v>
      </c>
      <c r="G73" s="91" t="s">
        <v>329</v>
      </c>
      <c r="H73" s="41" t="s">
        <v>334</v>
      </c>
      <c r="I73" s="93">
        <v>0</v>
      </c>
      <c r="J73" s="140">
        <f t="shared" si="33"/>
        <v>0</v>
      </c>
      <c r="K73" s="95">
        <v>37712</v>
      </c>
      <c r="L73" s="96">
        <f>18427*31</f>
        <v>571237</v>
      </c>
      <c r="M73" s="97" t="s">
        <v>25</v>
      </c>
      <c r="N73" s="98">
        <v>4.3</v>
      </c>
      <c r="O73" s="141">
        <f t="shared" si="34"/>
        <v>2456319.1</v>
      </c>
      <c r="P73" s="108">
        <v>0.01</v>
      </c>
      <c r="Q73" s="166">
        <f t="shared" si="35"/>
        <v>5712.37</v>
      </c>
      <c r="S73" s="143">
        <f t="shared" si="36"/>
        <v>0</v>
      </c>
      <c r="T73" s="143">
        <f t="shared" si="37"/>
        <v>0</v>
      </c>
      <c r="V73" s="142">
        <f t="shared" si="38"/>
        <v>0</v>
      </c>
      <c r="W73" s="142">
        <f t="shared" si="39"/>
        <v>0</v>
      </c>
      <c r="X73" s="144">
        <f t="shared" si="40"/>
        <v>0</v>
      </c>
      <c r="AA73" s="41" t="s">
        <v>208</v>
      </c>
    </row>
    <row r="74" spans="1:27" x14ac:dyDescent="0.2">
      <c r="A74" s="91">
        <v>8</v>
      </c>
      <c r="B74" s="91" t="s">
        <v>345</v>
      </c>
      <c r="C74" s="92">
        <v>36944</v>
      </c>
      <c r="D74" s="41" t="s">
        <v>346</v>
      </c>
      <c r="E74" s="41" t="s">
        <v>14</v>
      </c>
      <c r="F74" s="41" t="s">
        <v>21</v>
      </c>
      <c r="G74" s="91" t="s">
        <v>329</v>
      </c>
      <c r="H74" s="41" t="s">
        <v>334</v>
      </c>
      <c r="I74" s="93">
        <v>0</v>
      </c>
      <c r="J74" s="140">
        <f t="shared" si="33"/>
        <v>0</v>
      </c>
      <c r="K74" s="95">
        <v>37742</v>
      </c>
      <c r="L74" s="96">
        <f>18427*30</f>
        <v>552810</v>
      </c>
      <c r="M74" s="97" t="s">
        <v>25</v>
      </c>
      <c r="N74" s="98">
        <v>4.3</v>
      </c>
      <c r="O74" s="141">
        <f t="shared" si="34"/>
        <v>2377083</v>
      </c>
      <c r="P74" s="108">
        <v>0.01</v>
      </c>
      <c r="Q74" s="166">
        <f t="shared" si="35"/>
        <v>5528.1</v>
      </c>
      <c r="S74" s="143">
        <f t="shared" si="36"/>
        <v>0</v>
      </c>
      <c r="T74" s="143">
        <f t="shared" si="37"/>
        <v>0</v>
      </c>
      <c r="V74" s="142">
        <f t="shared" si="38"/>
        <v>0</v>
      </c>
      <c r="W74" s="142">
        <f t="shared" si="39"/>
        <v>0</v>
      </c>
      <c r="X74" s="144">
        <f t="shared" si="40"/>
        <v>0</v>
      </c>
      <c r="AA74" s="41" t="s">
        <v>208</v>
      </c>
    </row>
    <row r="75" spans="1:27" x14ac:dyDescent="0.2">
      <c r="A75" s="91">
        <v>8</v>
      </c>
      <c r="B75" s="91" t="s">
        <v>345</v>
      </c>
      <c r="C75" s="92">
        <v>36944</v>
      </c>
      <c r="D75" s="41" t="s">
        <v>346</v>
      </c>
      <c r="E75" s="41" t="s">
        <v>14</v>
      </c>
      <c r="F75" s="41" t="s">
        <v>21</v>
      </c>
      <c r="G75" s="91" t="s">
        <v>329</v>
      </c>
      <c r="H75" s="41" t="s">
        <v>334</v>
      </c>
      <c r="I75" s="93">
        <v>0</v>
      </c>
      <c r="J75" s="140">
        <f t="shared" si="33"/>
        <v>0</v>
      </c>
      <c r="K75" s="95">
        <v>37773</v>
      </c>
      <c r="L75" s="96">
        <f>18427*31</f>
        <v>571237</v>
      </c>
      <c r="M75" s="97" t="s">
        <v>25</v>
      </c>
      <c r="N75" s="98">
        <v>4.3</v>
      </c>
      <c r="O75" s="141">
        <f t="shared" si="34"/>
        <v>2456319.1</v>
      </c>
      <c r="P75" s="108">
        <v>0.01</v>
      </c>
      <c r="Q75" s="166">
        <f t="shared" si="35"/>
        <v>5712.37</v>
      </c>
      <c r="S75" s="143">
        <f t="shared" si="36"/>
        <v>0</v>
      </c>
      <c r="T75" s="143">
        <f t="shared" si="37"/>
        <v>0</v>
      </c>
      <c r="V75" s="142">
        <f t="shared" si="38"/>
        <v>0</v>
      </c>
      <c r="W75" s="142">
        <f t="shared" si="39"/>
        <v>0</v>
      </c>
      <c r="X75" s="144">
        <f t="shared" si="40"/>
        <v>0</v>
      </c>
      <c r="AA75" s="41" t="s">
        <v>208</v>
      </c>
    </row>
    <row r="76" spans="1:27" x14ac:dyDescent="0.2">
      <c r="A76" s="91">
        <v>8</v>
      </c>
      <c r="B76" s="91" t="s">
        <v>345</v>
      </c>
      <c r="C76" s="92">
        <v>36944</v>
      </c>
      <c r="D76" s="41" t="s">
        <v>346</v>
      </c>
      <c r="E76" s="41" t="s">
        <v>14</v>
      </c>
      <c r="F76" s="41" t="s">
        <v>21</v>
      </c>
      <c r="G76" s="91" t="s">
        <v>329</v>
      </c>
      <c r="H76" s="41" t="s">
        <v>334</v>
      </c>
      <c r="I76" s="93">
        <v>0</v>
      </c>
      <c r="J76" s="140">
        <f t="shared" si="33"/>
        <v>0</v>
      </c>
      <c r="K76" s="95">
        <v>37803</v>
      </c>
      <c r="L76" s="96">
        <f>18427*31</f>
        <v>571237</v>
      </c>
      <c r="M76" s="97" t="s">
        <v>25</v>
      </c>
      <c r="N76" s="98">
        <v>4.3</v>
      </c>
      <c r="O76" s="141">
        <f t="shared" si="34"/>
        <v>2456319.1</v>
      </c>
      <c r="P76" s="108">
        <v>0.01</v>
      </c>
      <c r="Q76" s="166">
        <f t="shared" si="35"/>
        <v>5712.37</v>
      </c>
      <c r="S76" s="143">
        <f t="shared" si="36"/>
        <v>0</v>
      </c>
      <c r="T76" s="143">
        <f t="shared" si="37"/>
        <v>0</v>
      </c>
      <c r="V76" s="142">
        <f t="shared" si="38"/>
        <v>0</v>
      </c>
      <c r="W76" s="142">
        <f t="shared" si="39"/>
        <v>0</v>
      </c>
      <c r="X76" s="144">
        <f t="shared" si="40"/>
        <v>0</v>
      </c>
      <c r="AA76" s="41" t="s">
        <v>208</v>
      </c>
    </row>
    <row r="77" spans="1:27" x14ac:dyDescent="0.2">
      <c r="A77" s="91">
        <v>8</v>
      </c>
      <c r="B77" s="91" t="s">
        <v>345</v>
      </c>
      <c r="C77" s="92">
        <v>36944</v>
      </c>
      <c r="D77" s="41" t="s">
        <v>346</v>
      </c>
      <c r="E77" s="41" t="s">
        <v>14</v>
      </c>
      <c r="F77" s="41" t="s">
        <v>21</v>
      </c>
      <c r="G77" s="91" t="s">
        <v>329</v>
      </c>
      <c r="H77" s="41" t="s">
        <v>334</v>
      </c>
      <c r="I77" s="93">
        <v>0</v>
      </c>
      <c r="J77" s="140">
        <f t="shared" si="33"/>
        <v>0</v>
      </c>
      <c r="K77" s="95">
        <v>37834</v>
      </c>
      <c r="L77" s="96">
        <f>18427*30</f>
        <v>552810</v>
      </c>
      <c r="M77" s="97" t="s">
        <v>25</v>
      </c>
      <c r="N77" s="98">
        <v>4.3</v>
      </c>
      <c r="O77" s="141">
        <f t="shared" si="34"/>
        <v>2377083</v>
      </c>
      <c r="P77" s="108">
        <v>0.01</v>
      </c>
      <c r="Q77" s="166">
        <f t="shared" si="35"/>
        <v>5528.1</v>
      </c>
      <c r="S77" s="143">
        <f t="shared" si="36"/>
        <v>0</v>
      </c>
      <c r="T77" s="143">
        <f t="shared" si="37"/>
        <v>0</v>
      </c>
      <c r="V77" s="142">
        <f t="shared" si="38"/>
        <v>0</v>
      </c>
      <c r="W77" s="142">
        <f t="shared" si="39"/>
        <v>0</v>
      </c>
      <c r="X77" s="144">
        <f t="shared" si="40"/>
        <v>0</v>
      </c>
      <c r="AA77" s="41" t="s">
        <v>208</v>
      </c>
    </row>
    <row r="78" spans="1:27" x14ac:dyDescent="0.2">
      <c r="A78" s="91">
        <v>8</v>
      </c>
      <c r="B78" s="91" t="s">
        <v>345</v>
      </c>
      <c r="C78" s="92">
        <v>36944</v>
      </c>
      <c r="D78" s="41" t="s">
        <v>346</v>
      </c>
      <c r="E78" s="41" t="s">
        <v>14</v>
      </c>
      <c r="F78" s="41" t="s">
        <v>21</v>
      </c>
      <c r="G78" s="91" t="s">
        <v>329</v>
      </c>
      <c r="H78" s="41" t="s">
        <v>334</v>
      </c>
      <c r="I78" s="93">
        <v>0</v>
      </c>
      <c r="J78" s="140">
        <f t="shared" si="33"/>
        <v>0</v>
      </c>
      <c r="K78" s="95">
        <v>37865</v>
      </c>
      <c r="L78" s="96">
        <f>18427*31</f>
        <v>571237</v>
      </c>
      <c r="M78" s="97" t="s">
        <v>25</v>
      </c>
      <c r="N78" s="98">
        <v>4.3</v>
      </c>
      <c r="O78" s="141">
        <f t="shared" si="34"/>
        <v>2456319.1</v>
      </c>
      <c r="P78" s="108">
        <v>0.01</v>
      </c>
      <c r="Q78" s="166">
        <f t="shared" si="35"/>
        <v>5712.37</v>
      </c>
      <c r="S78" s="143">
        <f t="shared" si="36"/>
        <v>0</v>
      </c>
      <c r="T78" s="143">
        <f t="shared" si="37"/>
        <v>0</v>
      </c>
      <c r="V78" s="142">
        <f t="shared" si="38"/>
        <v>0</v>
      </c>
      <c r="W78" s="142">
        <f t="shared" si="39"/>
        <v>0</v>
      </c>
      <c r="X78" s="144">
        <f t="shared" si="40"/>
        <v>0</v>
      </c>
      <c r="AA78" s="41" t="s">
        <v>208</v>
      </c>
    </row>
    <row r="79" spans="1:27" x14ac:dyDescent="0.2">
      <c r="A79" s="91">
        <v>8</v>
      </c>
      <c r="B79" s="91" t="s">
        <v>345</v>
      </c>
      <c r="C79" s="92">
        <v>36944</v>
      </c>
      <c r="D79" s="41" t="s">
        <v>346</v>
      </c>
      <c r="E79" s="41" t="s">
        <v>14</v>
      </c>
      <c r="F79" s="41" t="s">
        <v>21</v>
      </c>
      <c r="G79" s="91" t="s">
        <v>329</v>
      </c>
      <c r="H79" s="41" t="s">
        <v>334</v>
      </c>
      <c r="I79" s="93">
        <v>0</v>
      </c>
      <c r="J79" s="140">
        <f t="shared" si="33"/>
        <v>0</v>
      </c>
      <c r="K79" s="95">
        <v>37895</v>
      </c>
      <c r="L79" s="96">
        <f>18427*30</f>
        <v>552810</v>
      </c>
      <c r="M79" s="97" t="s">
        <v>25</v>
      </c>
      <c r="N79" s="98">
        <v>4.3</v>
      </c>
      <c r="O79" s="141">
        <f t="shared" si="34"/>
        <v>2377083</v>
      </c>
      <c r="P79" s="108">
        <v>0.01</v>
      </c>
      <c r="Q79" s="166">
        <f t="shared" si="35"/>
        <v>5528.1</v>
      </c>
      <c r="S79" s="143">
        <f t="shared" si="36"/>
        <v>0</v>
      </c>
      <c r="T79" s="143">
        <f t="shared" si="37"/>
        <v>0</v>
      </c>
      <c r="V79" s="142">
        <f t="shared" si="38"/>
        <v>0</v>
      </c>
      <c r="W79" s="142">
        <f t="shared" si="39"/>
        <v>0</v>
      </c>
      <c r="X79" s="144">
        <f t="shared" si="40"/>
        <v>0</v>
      </c>
      <c r="AA79" s="41" t="s">
        <v>208</v>
      </c>
    </row>
    <row r="80" spans="1:27" x14ac:dyDescent="0.2">
      <c r="A80" s="91">
        <v>8</v>
      </c>
      <c r="B80" s="91" t="s">
        <v>345</v>
      </c>
      <c r="C80" s="92">
        <v>36944</v>
      </c>
      <c r="D80" s="41" t="s">
        <v>346</v>
      </c>
      <c r="E80" s="41" t="s">
        <v>14</v>
      </c>
      <c r="F80" s="41" t="s">
        <v>21</v>
      </c>
      <c r="G80" s="91" t="s">
        <v>329</v>
      </c>
      <c r="H80" s="41" t="s">
        <v>334</v>
      </c>
      <c r="I80" s="93">
        <v>0</v>
      </c>
      <c r="J80" s="140">
        <f t="shared" si="33"/>
        <v>0</v>
      </c>
      <c r="K80" s="95">
        <v>37926</v>
      </c>
      <c r="L80" s="96">
        <f>18427*31</f>
        <v>571237</v>
      </c>
      <c r="M80" s="97" t="s">
        <v>25</v>
      </c>
      <c r="N80" s="98">
        <v>4.3</v>
      </c>
      <c r="O80" s="141">
        <f t="shared" si="34"/>
        <v>2456319.1</v>
      </c>
      <c r="P80" s="108">
        <v>0.01</v>
      </c>
      <c r="Q80" s="166">
        <f t="shared" si="35"/>
        <v>5712.37</v>
      </c>
      <c r="S80" s="143">
        <f t="shared" si="36"/>
        <v>0</v>
      </c>
      <c r="T80" s="143">
        <f t="shared" si="37"/>
        <v>0</v>
      </c>
      <c r="V80" s="142">
        <f t="shared" si="38"/>
        <v>0</v>
      </c>
      <c r="W80" s="142">
        <f t="shared" si="39"/>
        <v>0</v>
      </c>
      <c r="X80" s="144">
        <f t="shared" si="40"/>
        <v>0</v>
      </c>
      <c r="AA80" s="41" t="s">
        <v>208</v>
      </c>
    </row>
    <row r="81" spans="1:27" x14ac:dyDescent="0.2">
      <c r="A81" s="91">
        <v>8</v>
      </c>
      <c r="B81" s="91" t="s">
        <v>345</v>
      </c>
      <c r="C81" s="92">
        <v>36944</v>
      </c>
      <c r="D81" s="41" t="s">
        <v>346</v>
      </c>
      <c r="E81" s="41" t="s">
        <v>14</v>
      </c>
      <c r="F81" s="41" t="s">
        <v>21</v>
      </c>
      <c r="G81" s="91" t="s">
        <v>329</v>
      </c>
      <c r="H81" s="41" t="s">
        <v>334</v>
      </c>
      <c r="I81" s="93">
        <v>0</v>
      </c>
      <c r="J81" s="140">
        <f t="shared" si="33"/>
        <v>0</v>
      </c>
      <c r="K81" s="95">
        <v>37956</v>
      </c>
      <c r="L81" s="96">
        <f>18427*31</f>
        <v>571237</v>
      </c>
      <c r="M81" s="97" t="s">
        <v>25</v>
      </c>
      <c r="N81" s="98">
        <v>4.3</v>
      </c>
      <c r="O81" s="141">
        <f t="shared" si="34"/>
        <v>2456319.1</v>
      </c>
      <c r="P81" s="108">
        <v>0.01</v>
      </c>
      <c r="Q81" s="166">
        <f t="shared" si="35"/>
        <v>5712.37</v>
      </c>
      <c r="S81" s="143">
        <f t="shared" si="36"/>
        <v>0</v>
      </c>
      <c r="T81" s="143">
        <f t="shared" si="37"/>
        <v>0</v>
      </c>
      <c r="V81" s="142">
        <f t="shared" si="38"/>
        <v>0</v>
      </c>
      <c r="W81" s="142">
        <f t="shared" si="39"/>
        <v>0</v>
      </c>
      <c r="X81" s="144">
        <f t="shared" si="40"/>
        <v>0</v>
      </c>
      <c r="AA81" s="41" t="s">
        <v>208</v>
      </c>
    </row>
    <row r="83" spans="1:27" x14ac:dyDescent="0.2">
      <c r="A83" s="91">
        <v>9</v>
      </c>
      <c r="C83" s="92">
        <v>36945</v>
      </c>
      <c r="D83" s="41" t="s">
        <v>235</v>
      </c>
      <c r="E83" s="41" t="s">
        <v>14</v>
      </c>
      <c r="F83" s="41" t="s">
        <v>347</v>
      </c>
      <c r="G83" s="91" t="s">
        <v>329</v>
      </c>
      <c r="H83" s="41" t="s">
        <v>334</v>
      </c>
      <c r="I83" s="93">
        <v>0</v>
      </c>
      <c r="J83" s="140">
        <f t="shared" ref="J83:J92" si="41">+I83*L83</f>
        <v>0</v>
      </c>
      <c r="K83" s="95">
        <v>36951</v>
      </c>
      <c r="L83" s="96">
        <v>37925</v>
      </c>
      <c r="M83" s="97" t="s">
        <v>25</v>
      </c>
      <c r="N83" s="98">
        <v>5.04</v>
      </c>
      <c r="O83" s="141">
        <f t="shared" ref="O83:O92" si="42">L83*N83</f>
        <v>191142</v>
      </c>
      <c r="P83" s="108">
        <v>0.02</v>
      </c>
      <c r="Q83" s="166">
        <f t="shared" ref="Q83:Q92" si="43">P83*L83</f>
        <v>758.5</v>
      </c>
      <c r="S83" s="143">
        <f t="shared" ref="S83:S92" si="44">VLOOKUP(K83,Prices,HLOOKUP(F83,Column,2))</f>
        <v>4.7450000000000001</v>
      </c>
      <c r="T83" s="143">
        <f t="shared" ref="T83:T92" si="45">IF(S83=0,VLOOKUP(K83,FWD_Prices,HLOOKUP(F83,Column,2)),0)</f>
        <v>0</v>
      </c>
      <c r="V83" s="142" t="s">
        <v>298</v>
      </c>
      <c r="W83" s="142" t="s">
        <v>298</v>
      </c>
      <c r="X83" s="142" t="s">
        <v>298</v>
      </c>
      <c r="AA83" s="41" t="s">
        <v>60</v>
      </c>
    </row>
    <row r="84" spans="1:27" x14ac:dyDescent="0.2">
      <c r="A84" s="91">
        <v>9</v>
      </c>
      <c r="C84" s="92">
        <v>36945</v>
      </c>
      <c r="D84" s="41" t="s">
        <v>235</v>
      </c>
      <c r="E84" s="41" t="s">
        <v>14</v>
      </c>
      <c r="F84" s="41" t="s">
        <v>347</v>
      </c>
      <c r="G84" s="91" t="s">
        <v>329</v>
      </c>
      <c r="H84" s="41" t="s">
        <v>334</v>
      </c>
      <c r="I84" s="93">
        <v>0</v>
      </c>
      <c r="J84" s="140">
        <f t="shared" si="41"/>
        <v>0</v>
      </c>
      <c r="K84" s="95">
        <v>36982</v>
      </c>
      <c r="L84" s="96">
        <v>37925</v>
      </c>
      <c r="M84" s="97" t="s">
        <v>25</v>
      </c>
      <c r="N84" s="98">
        <v>5.04</v>
      </c>
      <c r="O84" s="141">
        <f t="shared" si="42"/>
        <v>191142</v>
      </c>
      <c r="P84" s="108">
        <v>0.02</v>
      </c>
      <c r="Q84" s="166">
        <f t="shared" si="43"/>
        <v>758.5</v>
      </c>
      <c r="S84" s="143">
        <f t="shared" si="44"/>
        <v>0</v>
      </c>
      <c r="T84" s="143">
        <f t="shared" si="45"/>
        <v>0</v>
      </c>
      <c r="V84" s="142" t="s">
        <v>298</v>
      </c>
      <c r="W84" s="142" t="s">
        <v>298</v>
      </c>
      <c r="X84" s="142" t="s">
        <v>298</v>
      </c>
      <c r="AA84" s="41" t="s">
        <v>60</v>
      </c>
    </row>
    <row r="85" spans="1:27" x14ac:dyDescent="0.2">
      <c r="A85" s="91">
        <v>9</v>
      </c>
      <c r="C85" s="92">
        <v>36945</v>
      </c>
      <c r="D85" s="41" t="s">
        <v>235</v>
      </c>
      <c r="E85" s="41" t="s">
        <v>14</v>
      </c>
      <c r="F85" s="41" t="s">
        <v>347</v>
      </c>
      <c r="G85" s="91" t="s">
        <v>329</v>
      </c>
      <c r="H85" s="41" t="s">
        <v>334</v>
      </c>
      <c r="I85" s="93">
        <v>0</v>
      </c>
      <c r="J85" s="140">
        <f t="shared" si="41"/>
        <v>0</v>
      </c>
      <c r="K85" s="95">
        <v>37012</v>
      </c>
      <c r="L85" s="96">
        <v>37925</v>
      </c>
      <c r="M85" s="97" t="s">
        <v>25</v>
      </c>
      <c r="N85" s="98">
        <v>5.04</v>
      </c>
      <c r="O85" s="141">
        <f t="shared" si="42"/>
        <v>191142</v>
      </c>
      <c r="P85" s="108">
        <v>0.02</v>
      </c>
      <c r="Q85" s="166">
        <f t="shared" si="43"/>
        <v>758.5</v>
      </c>
      <c r="S85" s="143">
        <f t="shared" si="44"/>
        <v>0</v>
      </c>
      <c r="T85" s="143">
        <f t="shared" si="45"/>
        <v>0</v>
      </c>
      <c r="V85" s="142" t="s">
        <v>298</v>
      </c>
      <c r="W85" s="142" t="s">
        <v>298</v>
      </c>
      <c r="X85" s="142" t="s">
        <v>298</v>
      </c>
      <c r="AA85" s="41" t="s">
        <v>60</v>
      </c>
    </row>
    <row r="86" spans="1:27" x14ac:dyDescent="0.2">
      <c r="A86" s="91">
        <v>9</v>
      </c>
      <c r="C86" s="92">
        <v>36945</v>
      </c>
      <c r="D86" s="41" t="s">
        <v>235</v>
      </c>
      <c r="E86" s="41" t="s">
        <v>14</v>
      </c>
      <c r="F86" s="41" t="s">
        <v>347</v>
      </c>
      <c r="G86" s="91" t="s">
        <v>329</v>
      </c>
      <c r="H86" s="41" t="s">
        <v>334</v>
      </c>
      <c r="I86" s="93">
        <v>0</v>
      </c>
      <c r="J86" s="140">
        <f t="shared" si="41"/>
        <v>0</v>
      </c>
      <c r="K86" s="95">
        <v>37043</v>
      </c>
      <c r="L86" s="96">
        <v>37925</v>
      </c>
      <c r="M86" s="97" t="s">
        <v>25</v>
      </c>
      <c r="N86" s="98">
        <v>5.04</v>
      </c>
      <c r="O86" s="141">
        <f t="shared" si="42"/>
        <v>191142</v>
      </c>
      <c r="P86" s="108">
        <v>0.02</v>
      </c>
      <c r="Q86" s="166">
        <f t="shared" si="43"/>
        <v>758.5</v>
      </c>
      <c r="S86" s="143">
        <f t="shared" si="44"/>
        <v>0</v>
      </c>
      <c r="T86" s="143">
        <f t="shared" si="45"/>
        <v>0</v>
      </c>
      <c r="V86" s="142" t="s">
        <v>298</v>
      </c>
      <c r="W86" s="142" t="s">
        <v>298</v>
      </c>
      <c r="X86" s="142" t="s">
        <v>298</v>
      </c>
      <c r="AA86" s="41" t="s">
        <v>60</v>
      </c>
    </row>
    <row r="87" spans="1:27" x14ac:dyDescent="0.2">
      <c r="A87" s="91">
        <v>9</v>
      </c>
      <c r="C87" s="92">
        <v>36945</v>
      </c>
      <c r="D87" s="41" t="s">
        <v>235</v>
      </c>
      <c r="E87" s="41" t="s">
        <v>14</v>
      </c>
      <c r="F87" s="41" t="s">
        <v>347</v>
      </c>
      <c r="G87" s="91" t="s">
        <v>329</v>
      </c>
      <c r="H87" s="41" t="s">
        <v>334</v>
      </c>
      <c r="I87" s="93">
        <v>0</v>
      </c>
      <c r="J87" s="140">
        <f t="shared" si="41"/>
        <v>0</v>
      </c>
      <c r="K87" s="95">
        <v>37073</v>
      </c>
      <c r="L87" s="96">
        <v>37925</v>
      </c>
      <c r="M87" s="97" t="s">
        <v>25</v>
      </c>
      <c r="N87" s="98">
        <v>5.04</v>
      </c>
      <c r="O87" s="141">
        <f t="shared" si="42"/>
        <v>191142</v>
      </c>
      <c r="P87" s="108">
        <v>0.02</v>
      </c>
      <c r="Q87" s="166">
        <f t="shared" si="43"/>
        <v>758.5</v>
      </c>
      <c r="S87" s="143">
        <f t="shared" si="44"/>
        <v>0</v>
      </c>
      <c r="T87" s="143">
        <f t="shared" si="45"/>
        <v>0</v>
      </c>
      <c r="V87" s="142" t="s">
        <v>298</v>
      </c>
      <c r="W87" s="142" t="s">
        <v>298</v>
      </c>
      <c r="X87" s="142" t="s">
        <v>298</v>
      </c>
      <c r="AA87" s="41" t="s">
        <v>60</v>
      </c>
    </row>
    <row r="88" spans="1:27" x14ac:dyDescent="0.2">
      <c r="A88" s="91">
        <v>9</v>
      </c>
      <c r="C88" s="92">
        <v>36945</v>
      </c>
      <c r="D88" s="41" t="s">
        <v>235</v>
      </c>
      <c r="E88" s="41" t="s">
        <v>14</v>
      </c>
      <c r="F88" s="41" t="s">
        <v>347</v>
      </c>
      <c r="G88" s="91" t="s">
        <v>329</v>
      </c>
      <c r="H88" s="41" t="s">
        <v>334</v>
      </c>
      <c r="I88" s="93">
        <v>0</v>
      </c>
      <c r="J88" s="140">
        <f t="shared" si="41"/>
        <v>0</v>
      </c>
      <c r="K88" s="95">
        <v>37104</v>
      </c>
      <c r="L88" s="96">
        <v>37925</v>
      </c>
      <c r="M88" s="97" t="s">
        <v>25</v>
      </c>
      <c r="N88" s="98">
        <v>5.04</v>
      </c>
      <c r="O88" s="141">
        <f t="shared" si="42"/>
        <v>191142</v>
      </c>
      <c r="P88" s="108">
        <v>0.02</v>
      </c>
      <c r="Q88" s="166">
        <f t="shared" si="43"/>
        <v>758.5</v>
      </c>
      <c r="S88" s="143">
        <f t="shared" si="44"/>
        <v>0</v>
      </c>
      <c r="T88" s="143">
        <f t="shared" si="45"/>
        <v>0</v>
      </c>
      <c r="V88" s="142" t="s">
        <v>298</v>
      </c>
      <c r="W88" s="142" t="s">
        <v>298</v>
      </c>
      <c r="X88" s="142" t="s">
        <v>298</v>
      </c>
      <c r="AA88" s="41" t="s">
        <v>60</v>
      </c>
    </row>
    <row r="89" spans="1:27" x14ac:dyDescent="0.2">
      <c r="A89" s="91">
        <v>9</v>
      </c>
      <c r="C89" s="92">
        <v>36945</v>
      </c>
      <c r="D89" s="41" t="s">
        <v>235</v>
      </c>
      <c r="E89" s="41" t="s">
        <v>14</v>
      </c>
      <c r="F89" s="41" t="s">
        <v>347</v>
      </c>
      <c r="G89" s="91" t="s">
        <v>329</v>
      </c>
      <c r="H89" s="41" t="s">
        <v>334</v>
      </c>
      <c r="I89" s="93">
        <v>0</v>
      </c>
      <c r="J89" s="140">
        <f t="shared" si="41"/>
        <v>0</v>
      </c>
      <c r="K89" s="95">
        <v>37135</v>
      </c>
      <c r="L89" s="96">
        <v>37925</v>
      </c>
      <c r="M89" s="97" t="s">
        <v>25</v>
      </c>
      <c r="N89" s="98">
        <v>5.04</v>
      </c>
      <c r="O89" s="141">
        <f t="shared" si="42"/>
        <v>191142</v>
      </c>
      <c r="P89" s="108">
        <v>0.02</v>
      </c>
      <c r="Q89" s="166">
        <f t="shared" si="43"/>
        <v>758.5</v>
      </c>
      <c r="S89" s="143">
        <f t="shared" si="44"/>
        <v>0</v>
      </c>
      <c r="T89" s="143">
        <f t="shared" si="45"/>
        <v>0</v>
      </c>
      <c r="V89" s="142" t="s">
        <v>298</v>
      </c>
      <c r="W89" s="142" t="s">
        <v>298</v>
      </c>
      <c r="X89" s="142" t="s">
        <v>298</v>
      </c>
      <c r="AA89" s="41" t="s">
        <v>60</v>
      </c>
    </row>
    <row r="90" spans="1:27" x14ac:dyDescent="0.2">
      <c r="A90" s="91">
        <v>9</v>
      </c>
      <c r="C90" s="92">
        <v>36945</v>
      </c>
      <c r="D90" s="41" t="s">
        <v>235</v>
      </c>
      <c r="E90" s="41" t="s">
        <v>14</v>
      </c>
      <c r="F90" s="41" t="s">
        <v>347</v>
      </c>
      <c r="G90" s="91" t="s">
        <v>329</v>
      </c>
      <c r="H90" s="41" t="s">
        <v>334</v>
      </c>
      <c r="I90" s="93">
        <v>0</v>
      </c>
      <c r="J90" s="140">
        <f t="shared" si="41"/>
        <v>0</v>
      </c>
      <c r="K90" s="95">
        <v>37165</v>
      </c>
      <c r="L90" s="96">
        <v>37925</v>
      </c>
      <c r="M90" s="97" t="s">
        <v>25</v>
      </c>
      <c r="N90" s="98">
        <v>5.04</v>
      </c>
      <c r="O90" s="141">
        <f t="shared" si="42"/>
        <v>191142</v>
      </c>
      <c r="P90" s="108">
        <v>0.02</v>
      </c>
      <c r="Q90" s="166">
        <f t="shared" si="43"/>
        <v>758.5</v>
      </c>
      <c r="S90" s="143">
        <f t="shared" si="44"/>
        <v>0</v>
      </c>
      <c r="T90" s="143">
        <f t="shared" si="45"/>
        <v>0</v>
      </c>
      <c r="V90" s="142" t="s">
        <v>298</v>
      </c>
      <c r="W90" s="142" t="s">
        <v>298</v>
      </c>
      <c r="X90" s="142" t="s">
        <v>298</v>
      </c>
      <c r="AA90" s="41" t="s">
        <v>60</v>
      </c>
    </row>
    <row r="91" spans="1:27" x14ac:dyDescent="0.2">
      <c r="A91" s="91">
        <v>9</v>
      </c>
      <c r="C91" s="92">
        <v>36945</v>
      </c>
      <c r="D91" s="41" t="s">
        <v>235</v>
      </c>
      <c r="E91" s="41" t="s">
        <v>14</v>
      </c>
      <c r="F91" s="41" t="s">
        <v>347</v>
      </c>
      <c r="G91" s="91" t="s">
        <v>329</v>
      </c>
      <c r="H91" s="41" t="s">
        <v>334</v>
      </c>
      <c r="I91" s="93">
        <v>0</v>
      </c>
      <c r="J91" s="140">
        <f t="shared" si="41"/>
        <v>0</v>
      </c>
      <c r="K91" s="95">
        <v>37196</v>
      </c>
      <c r="L91" s="96">
        <v>37925</v>
      </c>
      <c r="M91" s="97" t="s">
        <v>25</v>
      </c>
      <c r="N91" s="98">
        <v>5.04</v>
      </c>
      <c r="O91" s="141">
        <f t="shared" si="42"/>
        <v>191142</v>
      </c>
      <c r="P91" s="108">
        <v>0.02</v>
      </c>
      <c r="Q91" s="166">
        <f t="shared" si="43"/>
        <v>758.5</v>
      </c>
      <c r="S91" s="143">
        <f t="shared" si="44"/>
        <v>0</v>
      </c>
      <c r="T91" s="143">
        <f t="shared" si="45"/>
        <v>0</v>
      </c>
      <c r="V91" s="142" t="s">
        <v>298</v>
      </c>
      <c r="W91" s="142" t="s">
        <v>298</v>
      </c>
      <c r="X91" s="142" t="s">
        <v>298</v>
      </c>
      <c r="AA91" s="41" t="s">
        <v>60</v>
      </c>
    </row>
    <row r="92" spans="1:27" x14ac:dyDescent="0.2">
      <c r="A92" s="91">
        <v>9</v>
      </c>
      <c r="C92" s="92">
        <v>36945</v>
      </c>
      <c r="D92" s="41" t="s">
        <v>235</v>
      </c>
      <c r="E92" s="41" t="s">
        <v>14</v>
      </c>
      <c r="F92" s="41" t="s">
        <v>347</v>
      </c>
      <c r="G92" s="91" t="s">
        <v>329</v>
      </c>
      <c r="H92" s="41" t="s">
        <v>334</v>
      </c>
      <c r="I92" s="93">
        <v>0</v>
      </c>
      <c r="J92" s="140">
        <f t="shared" si="41"/>
        <v>0</v>
      </c>
      <c r="K92" s="95">
        <v>37226</v>
      </c>
      <c r="L92" s="96">
        <v>37925</v>
      </c>
      <c r="M92" s="97" t="s">
        <v>25</v>
      </c>
      <c r="N92" s="98">
        <v>5.04</v>
      </c>
      <c r="O92" s="141">
        <f t="shared" si="42"/>
        <v>191142</v>
      </c>
      <c r="P92" s="108">
        <v>0.02</v>
      </c>
      <c r="Q92" s="166">
        <f t="shared" si="43"/>
        <v>758.5</v>
      </c>
      <c r="S92" s="143">
        <f t="shared" si="44"/>
        <v>0</v>
      </c>
      <c r="T92" s="143">
        <f t="shared" si="45"/>
        <v>0</v>
      </c>
      <c r="V92" s="142" t="s">
        <v>298</v>
      </c>
      <c r="W92" s="142" t="s">
        <v>298</v>
      </c>
      <c r="X92" s="142" t="s">
        <v>298</v>
      </c>
      <c r="AA92" s="41" t="s">
        <v>60</v>
      </c>
    </row>
    <row r="94" spans="1:27" x14ac:dyDescent="0.2">
      <c r="A94" s="91">
        <v>10</v>
      </c>
      <c r="C94" s="92">
        <v>36948</v>
      </c>
      <c r="D94" s="41" t="s">
        <v>235</v>
      </c>
      <c r="E94" s="41" t="s">
        <v>14</v>
      </c>
      <c r="F94" s="41" t="s">
        <v>347</v>
      </c>
      <c r="G94" s="91" t="s">
        <v>329</v>
      </c>
      <c r="H94" s="41" t="s">
        <v>334</v>
      </c>
      <c r="I94" s="93">
        <v>0</v>
      </c>
      <c r="J94" s="140">
        <f t="shared" ref="J94:J103" si="46">+I94*L94</f>
        <v>0</v>
      </c>
      <c r="K94" s="95">
        <v>36951</v>
      </c>
      <c r="L94" s="96">
        <v>37925</v>
      </c>
      <c r="M94" s="97" t="s">
        <v>25</v>
      </c>
      <c r="N94" s="98">
        <v>5.0324999999999998</v>
      </c>
      <c r="O94" s="141">
        <f>L94*N94</f>
        <v>190857.5625</v>
      </c>
      <c r="P94" s="108">
        <v>0.01</v>
      </c>
      <c r="Q94" s="166">
        <f t="shared" ref="Q94:Q103" si="47">P94*L94</f>
        <v>379.25</v>
      </c>
      <c r="S94" s="143">
        <f t="shared" ref="S94:S103" si="48">VLOOKUP(K94,Prices,HLOOKUP(F94,Column,2))</f>
        <v>4.7450000000000001</v>
      </c>
      <c r="T94" s="143">
        <f t="shared" ref="T94:T103" si="49">IF(S94=0,VLOOKUP(K94,FWD_Prices,HLOOKUP(F94,Column,2)),0)</f>
        <v>0</v>
      </c>
      <c r="V94" s="142" t="s">
        <v>298</v>
      </c>
      <c r="W94" s="142" t="s">
        <v>298</v>
      </c>
      <c r="X94" s="142" t="s">
        <v>298</v>
      </c>
      <c r="AA94" s="41" t="s">
        <v>60</v>
      </c>
    </row>
    <row r="95" spans="1:27" x14ac:dyDescent="0.2">
      <c r="A95" s="91">
        <v>10</v>
      </c>
      <c r="C95" s="92">
        <v>36948</v>
      </c>
      <c r="D95" s="41" t="s">
        <v>235</v>
      </c>
      <c r="E95" s="41" t="s">
        <v>14</v>
      </c>
      <c r="F95" s="41" t="s">
        <v>347</v>
      </c>
      <c r="G95" s="91" t="s">
        <v>329</v>
      </c>
      <c r="H95" s="41" t="s">
        <v>334</v>
      </c>
      <c r="I95" s="93">
        <v>0</v>
      </c>
      <c r="J95" s="140">
        <f t="shared" si="46"/>
        <v>0</v>
      </c>
      <c r="K95" s="95">
        <v>36982</v>
      </c>
      <c r="L95" s="96">
        <v>37925</v>
      </c>
      <c r="M95" s="97" t="s">
        <v>25</v>
      </c>
      <c r="N95" s="98">
        <v>5.0324999999999998</v>
      </c>
      <c r="O95" s="141">
        <f t="shared" ref="O95:O103" si="50">L95*N95</f>
        <v>190857.5625</v>
      </c>
      <c r="P95" s="108">
        <v>0.01</v>
      </c>
      <c r="Q95" s="166">
        <f t="shared" si="47"/>
        <v>379.25</v>
      </c>
      <c r="S95" s="143">
        <f t="shared" si="48"/>
        <v>0</v>
      </c>
      <c r="T95" s="143">
        <f t="shared" si="49"/>
        <v>0</v>
      </c>
      <c r="V95" s="142" t="s">
        <v>298</v>
      </c>
      <c r="W95" s="142" t="s">
        <v>298</v>
      </c>
      <c r="X95" s="142" t="s">
        <v>298</v>
      </c>
      <c r="AA95" s="41" t="s">
        <v>60</v>
      </c>
    </row>
    <row r="96" spans="1:27" x14ac:dyDescent="0.2">
      <c r="A96" s="91">
        <v>10</v>
      </c>
      <c r="C96" s="92">
        <v>36948</v>
      </c>
      <c r="D96" s="41" t="s">
        <v>235</v>
      </c>
      <c r="E96" s="41" t="s">
        <v>14</v>
      </c>
      <c r="F96" s="41" t="s">
        <v>347</v>
      </c>
      <c r="G96" s="91" t="s">
        <v>329</v>
      </c>
      <c r="H96" s="41" t="s">
        <v>334</v>
      </c>
      <c r="I96" s="93">
        <v>0</v>
      </c>
      <c r="J96" s="140">
        <f t="shared" si="46"/>
        <v>0</v>
      </c>
      <c r="K96" s="95">
        <v>37012</v>
      </c>
      <c r="L96" s="96">
        <v>37925</v>
      </c>
      <c r="M96" s="97" t="s">
        <v>25</v>
      </c>
      <c r="N96" s="98">
        <v>5.0324999999999998</v>
      </c>
      <c r="O96" s="141">
        <f t="shared" si="50"/>
        <v>190857.5625</v>
      </c>
      <c r="P96" s="108">
        <v>0.01</v>
      </c>
      <c r="Q96" s="166">
        <f t="shared" si="47"/>
        <v>379.25</v>
      </c>
      <c r="S96" s="143">
        <f t="shared" si="48"/>
        <v>0</v>
      </c>
      <c r="T96" s="143">
        <f t="shared" si="49"/>
        <v>0</v>
      </c>
      <c r="V96" s="142" t="s">
        <v>298</v>
      </c>
      <c r="W96" s="142" t="s">
        <v>298</v>
      </c>
      <c r="X96" s="142" t="s">
        <v>298</v>
      </c>
      <c r="AA96" s="41" t="s">
        <v>60</v>
      </c>
    </row>
    <row r="97" spans="1:29" x14ac:dyDescent="0.2">
      <c r="A97" s="91">
        <v>10</v>
      </c>
      <c r="C97" s="92">
        <v>36948</v>
      </c>
      <c r="D97" s="41" t="s">
        <v>235</v>
      </c>
      <c r="E97" s="41" t="s">
        <v>14</v>
      </c>
      <c r="F97" s="41" t="s">
        <v>347</v>
      </c>
      <c r="G97" s="91" t="s">
        <v>329</v>
      </c>
      <c r="H97" s="41" t="s">
        <v>334</v>
      </c>
      <c r="I97" s="93">
        <v>0</v>
      </c>
      <c r="J97" s="140">
        <f t="shared" si="46"/>
        <v>0</v>
      </c>
      <c r="K97" s="95">
        <v>37043</v>
      </c>
      <c r="L97" s="96">
        <v>37925</v>
      </c>
      <c r="M97" s="97" t="s">
        <v>25</v>
      </c>
      <c r="N97" s="98">
        <v>5.0324999999999998</v>
      </c>
      <c r="O97" s="141">
        <f t="shared" si="50"/>
        <v>190857.5625</v>
      </c>
      <c r="P97" s="108">
        <v>0.01</v>
      </c>
      <c r="Q97" s="166">
        <f t="shared" si="47"/>
        <v>379.25</v>
      </c>
      <c r="S97" s="143">
        <f t="shared" si="48"/>
        <v>0</v>
      </c>
      <c r="T97" s="143">
        <f t="shared" si="49"/>
        <v>0</v>
      </c>
      <c r="V97" s="142" t="s">
        <v>298</v>
      </c>
      <c r="W97" s="142" t="s">
        <v>298</v>
      </c>
      <c r="X97" s="142" t="s">
        <v>298</v>
      </c>
      <c r="AA97" s="41" t="s">
        <v>60</v>
      </c>
    </row>
    <row r="98" spans="1:29" x14ac:dyDescent="0.2">
      <c r="A98" s="91">
        <v>10</v>
      </c>
      <c r="C98" s="92">
        <v>36948</v>
      </c>
      <c r="D98" s="41" t="s">
        <v>235</v>
      </c>
      <c r="E98" s="41" t="s">
        <v>14</v>
      </c>
      <c r="F98" s="41" t="s">
        <v>347</v>
      </c>
      <c r="G98" s="91" t="s">
        <v>329</v>
      </c>
      <c r="H98" s="41" t="s">
        <v>334</v>
      </c>
      <c r="I98" s="93">
        <v>0</v>
      </c>
      <c r="J98" s="140">
        <f t="shared" si="46"/>
        <v>0</v>
      </c>
      <c r="K98" s="95">
        <v>37073</v>
      </c>
      <c r="L98" s="96">
        <v>37925</v>
      </c>
      <c r="M98" s="97" t="s">
        <v>25</v>
      </c>
      <c r="N98" s="98">
        <v>5.0324999999999998</v>
      </c>
      <c r="O98" s="141">
        <f t="shared" si="50"/>
        <v>190857.5625</v>
      </c>
      <c r="P98" s="108">
        <v>0.01</v>
      </c>
      <c r="Q98" s="166">
        <f t="shared" si="47"/>
        <v>379.25</v>
      </c>
      <c r="S98" s="143">
        <f t="shared" si="48"/>
        <v>0</v>
      </c>
      <c r="T98" s="143">
        <f t="shared" si="49"/>
        <v>0</v>
      </c>
      <c r="V98" s="142" t="s">
        <v>298</v>
      </c>
      <c r="W98" s="142" t="s">
        <v>298</v>
      </c>
      <c r="X98" s="142" t="s">
        <v>298</v>
      </c>
      <c r="AA98" s="41" t="s">
        <v>60</v>
      </c>
    </row>
    <row r="99" spans="1:29" x14ac:dyDescent="0.2">
      <c r="A99" s="91">
        <v>10</v>
      </c>
      <c r="C99" s="92">
        <v>36948</v>
      </c>
      <c r="D99" s="41" t="s">
        <v>235</v>
      </c>
      <c r="E99" s="41" t="s">
        <v>14</v>
      </c>
      <c r="F99" s="41" t="s">
        <v>347</v>
      </c>
      <c r="G99" s="91" t="s">
        <v>329</v>
      </c>
      <c r="H99" s="41" t="s">
        <v>334</v>
      </c>
      <c r="I99" s="93">
        <v>0</v>
      </c>
      <c r="J99" s="140">
        <f t="shared" si="46"/>
        <v>0</v>
      </c>
      <c r="K99" s="95">
        <v>37104</v>
      </c>
      <c r="L99" s="96">
        <v>37925</v>
      </c>
      <c r="M99" s="97" t="s">
        <v>25</v>
      </c>
      <c r="N99" s="98">
        <v>5.0324999999999998</v>
      </c>
      <c r="O99" s="141">
        <f t="shared" si="50"/>
        <v>190857.5625</v>
      </c>
      <c r="P99" s="108">
        <v>0.01</v>
      </c>
      <c r="Q99" s="166">
        <f t="shared" si="47"/>
        <v>379.25</v>
      </c>
      <c r="S99" s="143">
        <f t="shared" si="48"/>
        <v>0</v>
      </c>
      <c r="T99" s="143">
        <f t="shared" si="49"/>
        <v>0</v>
      </c>
      <c r="V99" s="142" t="s">
        <v>298</v>
      </c>
      <c r="W99" s="142" t="s">
        <v>298</v>
      </c>
      <c r="X99" s="142" t="s">
        <v>298</v>
      </c>
      <c r="AA99" s="41" t="s">
        <v>60</v>
      </c>
    </row>
    <row r="100" spans="1:29" x14ac:dyDescent="0.2">
      <c r="A100" s="91">
        <v>10</v>
      </c>
      <c r="C100" s="92">
        <v>36948</v>
      </c>
      <c r="D100" s="41" t="s">
        <v>235</v>
      </c>
      <c r="E100" s="41" t="s">
        <v>14</v>
      </c>
      <c r="F100" s="41" t="s">
        <v>347</v>
      </c>
      <c r="G100" s="91" t="s">
        <v>329</v>
      </c>
      <c r="H100" s="41" t="s">
        <v>334</v>
      </c>
      <c r="I100" s="93">
        <v>0</v>
      </c>
      <c r="J100" s="140">
        <f t="shared" si="46"/>
        <v>0</v>
      </c>
      <c r="K100" s="95">
        <v>37135</v>
      </c>
      <c r="L100" s="96">
        <v>37925</v>
      </c>
      <c r="M100" s="97" t="s">
        <v>25</v>
      </c>
      <c r="N100" s="98">
        <v>5.0324999999999998</v>
      </c>
      <c r="O100" s="141">
        <f t="shared" si="50"/>
        <v>190857.5625</v>
      </c>
      <c r="P100" s="108">
        <v>0.01</v>
      </c>
      <c r="Q100" s="166">
        <f t="shared" si="47"/>
        <v>379.25</v>
      </c>
      <c r="S100" s="143">
        <f t="shared" si="48"/>
        <v>0</v>
      </c>
      <c r="T100" s="143">
        <f t="shared" si="49"/>
        <v>0</v>
      </c>
      <c r="V100" s="142" t="s">
        <v>298</v>
      </c>
      <c r="W100" s="142" t="s">
        <v>298</v>
      </c>
      <c r="X100" s="142" t="s">
        <v>298</v>
      </c>
      <c r="AA100" s="41" t="s">
        <v>60</v>
      </c>
    </row>
    <row r="101" spans="1:29" x14ac:dyDescent="0.2">
      <c r="A101" s="91">
        <v>10</v>
      </c>
      <c r="C101" s="92">
        <v>36948</v>
      </c>
      <c r="D101" s="41" t="s">
        <v>235</v>
      </c>
      <c r="E101" s="41" t="s">
        <v>14</v>
      </c>
      <c r="F101" s="41" t="s">
        <v>347</v>
      </c>
      <c r="G101" s="91" t="s">
        <v>329</v>
      </c>
      <c r="H101" s="41" t="s">
        <v>334</v>
      </c>
      <c r="I101" s="93">
        <v>0</v>
      </c>
      <c r="J101" s="140">
        <f t="shared" si="46"/>
        <v>0</v>
      </c>
      <c r="K101" s="95">
        <v>37165</v>
      </c>
      <c r="L101" s="96">
        <v>37925</v>
      </c>
      <c r="M101" s="97" t="s">
        <v>25</v>
      </c>
      <c r="N101" s="98">
        <v>5.0324999999999998</v>
      </c>
      <c r="O101" s="141">
        <f t="shared" si="50"/>
        <v>190857.5625</v>
      </c>
      <c r="P101" s="108">
        <v>0.01</v>
      </c>
      <c r="Q101" s="166">
        <f t="shared" si="47"/>
        <v>379.25</v>
      </c>
      <c r="S101" s="143">
        <f t="shared" si="48"/>
        <v>0</v>
      </c>
      <c r="T101" s="143">
        <f t="shared" si="49"/>
        <v>0</v>
      </c>
      <c r="V101" s="142" t="s">
        <v>298</v>
      </c>
      <c r="W101" s="142" t="s">
        <v>298</v>
      </c>
      <c r="X101" s="142" t="s">
        <v>298</v>
      </c>
      <c r="AA101" s="41" t="s">
        <v>60</v>
      </c>
    </row>
    <row r="102" spans="1:29" x14ac:dyDescent="0.2">
      <c r="A102" s="91">
        <v>10</v>
      </c>
      <c r="C102" s="92">
        <v>36948</v>
      </c>
      <c r="D102" s="41" t="s">
        <v>235</v>
      </c>
      <c r="E102" s="41" t="s">
        <v>14</v>
      </c>
      <c r="F102" s="41" t="s">
        <v>347</v>
      </c>
      <c r="G102" s="91" t="s">
        <v>329</v>
      </c>
      <c r="H102" s="41" t="s">
        <v>334</v>
      </c>
      <c r="I102" s="93">
        <v>0</v>
      </c>
      <c r="J102" s="140">
        <f t="shared" si="46"/>
        <v>0</v>
      </c>
      <c r="K102" s="95">
        <v>37196</v>
      </c>
      <c r="L102" s="96">
        <v>37925</v>
      </c>
      <c r="M102" s="97" t="s">
        <v>25</v>
      </c>
      <c r="N102" s="98">
        <v>5.0324999999999998</v>
      </c>
      <c r="O102" s="141">
        <f t="shared" si="50"/>
        <v>190857.5625</v>
      </c>
      <c r="P102" s="108">
        <v>0.01</v>
      </c>
      <c r="Q102" s="166">
        <f t="shared" si="47"/>
        <v>379.25</v>
      </c>
      <c r="S102" s="143">
        <f t="shared" si="48"/>
        <v>0</v>
      </c>
      <c r="T102" s="143">
        <f t="shared" si="49"/>
        <v>0</v>
      </c>
      <c r="V102" s="142" t="s">
        <v>298</v>
      </c>
      <c r="W102" s="142" t="s">
        <v>298</v>
      </c>
      <c r="X102" s="142" t="s">
        <v>298</v>
      </c>
      <c r="AA102" s="41" t="s">
        <v>60</v>
      </c>
    </row>
    <row r="103" spans="1:29" x14ac:dyDescent="0.2">
      <c r="A103" s="91">
        <v>10</v>
      </c>
      <c r="C103" s="92">
        <v>36948</v>
      </c>
      <c r="D103" s="41" t="s">
        <v>235</v>
      </c>
      <c r="E103" s="41" t="s">
        <v>14</v>
      </c>
      <c r="F103" s="41" t="s">
        <v>347</v>
      </c>
      <c r="G103" s="91" t="s">
        <v>329</v>
      </c>
      <c r="H103" s="41" t="s">
        <v>334</v>
      </c>
      <c r="I103" s="93">
        <v>0</v>
      </c>
      <c r="J103" s="140">
        <f t="shared" si="46"/>
        <v>0</v>
      </c>
      <c r="K103" s="95">
        <v>37226</v>
      </c>
      <c r="L103" s="96">
        <v>37925</v>
      </c>
      <c r="M103" s="97" t="s">
        <v>25</v>
      </c>
      <c r="N103" s="98">
        <v>5.0324999999999998</v>
      </c>
      <c r="O103" s="141">
        <f t="shared" si="50"/>
        <v>190857.5625</v>
      </c>
      <c r="P103" s="108">
        <v>0.01</v>
      </c>
      <c r="Q103" s="166">
        <f t="shared" si="47"/>
        <v>379.25</v>
      </c>
      <c r="S103" s="143">
        <f t="shared" si="48"/>
        <v>0</v>
      </c>
      <c r="T103" s="143">
        <f t="shared" si="49"/>
        <v>0</v>
      </c>
      <c r="V103" s="142" t="s">
        <v>298</v>
      </c>
      <c r="W103" s="142" t="s">
        <v>298</v>
      </c>
      <c r="X103" s="142" t="s">
        <v>298</v>
      </c>
      <c r="AA103" s="41" t="s">
        <v>60</v>
      </c>
    </row>
    <row r="105" spans="1:29" x14ac:dyDescent="0.2">
      <c r="A105" s="91">
        <v>11</v>
      </c>
      <c r="C105" s="92">
        <v>36949</v>
      </c>
      <c r="D105" s="41" t="s">
        <v>374</v>
      </c>
      <c r="E105" s="41" t="s">
        <v>351</v>
      </c>
      <c r="F105" s="41" t="s">
        <v>352</v>
      </c>
      <c r="G105" s="91" t="s">
        <v>327</v>
      </c>
      <c r="H105" s="41" t="s">
        <v>334</v>
      </c>
      <c r="I105" s="93">
        <v>0</v>
      </c>
      <c r="J105" s="140">
        <f>+I105*L105</f>
        <v>0</v>
      </c>
      <c r="K105" s="95">
        <v>36982</v>
      </c>
      <c r="L105" s="96">
        <v>32400</v>
      </c>
      <c r="M105" s="97" t="s">
        <v>353</v>
      </c>
      <c r="N105" s="98">
        <v>21.2</v>
      </c>
      <c r="O105" s="141">
        <f>L105*N105</f>
        <v>686880</v>
      </c>
      <c r="P105" s="108">
        <v>0.1</v>
      </c>
      <c r="Q105" s="166">
        <f>P105*L105</f>
        <v>3240</v>
      </c>
      <c r="S105" s="143">
        <f>VLOOKUP(K105,Prices,HLOOKUP(F105,Column,2))</f>
        <v>36982</v>
      </c>
      <c r="T105" s="143">
        <f>IF(S105=0,VLOOKUP(K105,FWD_Prices,HLOOKUP(F105,Column,2)),0)</f>
        <v>0</v>
      </c>
      <c r="V105" s="142">
        <f>IF(H105="Swap",S105-N105,IF(H105="Call",MAX(S105-N105,0),IF(H105="Put",MAX(N105-S105,0),"Error on Structure")))
* IF(G105="Buy",1,IF(G105="Sell",-1,"Error on Buy/Sell"))
* L105
* IF(S105=0,0,1)</f>
        <v>-1197529920</v>
      </c>
      <c r="W105" s="142">
        <f>IF(H105="Swap",T105-N105,IF(H105="Call",MAX(T105-N105,0),IF(H105="Put",MAX(N105-T105,0),"Error on Structure")))
* IF(G105="Buy",1,IF(G105="Sell",-1,"Error on Buy/Sell"))
* L105
* IF(T105=0,0,1)</f>
        <v>0</v>
      </c>
      <c r="X105" s="144">
        <f>SUM(V105:W105)</f>
        <v>-1197529920</v>
      </c>
      <c r="AA105" s="41" t="s">
        <v>59</v>
      </c>
      <c r="AC105" s="91" t="s">
        <v>202</v>
      </c>
    </row>
    <row r="106" spans="1:29" x14ac:dyDescent="0.2">
      <c r="A106" s="91">
        <v>11</v>
      </c>
      <c r="C106" s="92">
        <v>36949</v>
      </c>
      <c r="D106" s="41" t="s">
        <v>374</v>
      </c>
      <c r="E106" s="41" t="s">
        <v>351</v>
      </c>
      <c r="F106" s="41" t="s">
        <v>352</v>
      </c>
      <c r="G106" s="91" t="s">
        <v>327</v>
      </c>
      <c r="H106" s="41" t="s">
        <v>334</v>
      </c>
      <c r="I106" s="93">
        <v>0</v>
      </c>
      <c r="J106" s="140">
        <f t="shared" ref="J106:J116" si="51">+I106*L106</f>
        <v>0</v>
      </c>
      <c r="K106" s="95">
        <v>37012</v>
      </c>
      <c r="L106" s="96">
        <v>32400</v>
      </c>
      <c r="M106" s="97" t="s">
        <v>353</v>
      </c>
      <c r="N106" s="98">
        <v>21.2</v>
      </c>
      <c r="O106" s="141">
        <f t="shared" ref="O106:O116" si="52">L106*N106</f>
        <v>686880</v>
      </c>
      <c r="P106" s="108">
        <v>0.1</v>
      </c>
      <c r="Q106" s="166">
        <f t="shared" ref="Q106:Q116" si="53">P106*L106</f>
        <v>3240</v>
      </c>
      <c r="S106" s="143">
        <f t="shared" ref="S106:S116" si="54">VLOOKUP(K106,Prices,HLOOKUP(F106,Column,2))</f>
        <v>37012</v>
      </c>
      <c r="T106" s="143">
        <f t="shared" ref="T106:T116" si="55">IF(S106=0,VLOOKUP(K106,FWD_Prices,HLOOKUP(F106,Column,2)),0)</f>
        <v>0</v>
      </c>
      <c r="V106" s="142">
        <f t="shared" ref="V106:V116" si="56">IF(H106="Swap",S106-N106,IF(H106="Call",MAX(S106-N106,0),IF(H106="Put",MAX(N106-S106,0),"Error on Structure")))
* IF(G106="Buy",1,IF(G106="Sell",-1,"Error on Buy/Sell"))
* L106
* IF(S106=0,0,1)</f>
        <v>-1198501920</v>
      </c>
      <c r="W106" s="142">
        <f t="shared" ref="W106:W116" si="57">IF(H106="Swap",T106-N106,IF(H106="Call",MAX(T106-N106,0),IF(H106="Put",MAX(N106-T106,0),"Error on Structure")))
* IF(G106="Buy",1,IF(G106="Sell",-1,"Error on Buy/Sell"))
* L106
* IF(T106=0,0,1)</f>
        <v>0</v>
      </c>
      <c r="X106" s="144">
        <f t="shared" ref="X106:X116" si="58">SUM(V106:W106)</f>
        <v>-1198501920</v>
      </c>
      <c r="AA106" s="41" t="s">
        <v>59</v>
      </c>
      <c r="AC106" s="91" t="s">
        <v>202</v>
      </c>
    </row>
    <row r="107" spans="1:29" x14ac:dyDescent="0.2">
      <c r="A107" s="91">
        <v>11</v>
      </c>
      <c r="C107" s="92">
        <v>36949</v>
      </c>
      <c r="D107" s="41" t="s">
        <v>374</v>
      </c>
      <c r="E107" s="41" t="s">
        <v>351</v>
      </c>
      <c r="F107" s="41" t="s">
        <v>352</v>
      </c>
      <c r="G107" s="91" t="s">
        <v>327</v>
      </c>
      <c r="H107" s="41" t="s">
        <v>334</v>
      </c>
      <c r="I107" s="93">
        <v>0</v>
      </c>
      <c r="J107" s="140">
        <f t="shared" si="51"/>
        <v>0</v>
      </c>
      <c r="K107" s="95">
        <v>37043</v>
      </c>
      <c r="L107" s="96">
        <v>32400</v>
      </c>
      <c r="M107" s="97" t="s">
        <v>353</v>
      </c>
      <c r="N107" s="98">
        <v>21.2</v>
      </c>
      <c r="O107" s="141">
        <f t="shared" si="52"/>
        <v>686880</v>
      </c>
      <c r="P107" s="108">
        <v>0.1</v>
      </c>
      <c r="Q107" s="166">
        <f t="shared" si="53"/>
        <v>3240</v>
      </c>
      <c r="S107" s="143">
        <f t="shared" si="54"/>
        <v>37043</v>
      </c>
      <c r="T107" s="143">
        <f t="shared" si="55"/>
        <v>0</v>
      </c>
      <c r="V107" s="142">
        <f t="shared" si="56"/>
        <v>-1199506320</v>
      </c>
      <c r="W107" s="142">
        <f t="shared" si="57"/>
        <v>0</v>
      </c>
      <c r="X107" s="144">
        <f t="shared" si="58"/>
        <v>-1199506320</v>
      </c>
      <c r="AA107" s="41" t="s">
        <v>59</v>
      </c>
      <c r="AC107" s="91" t="s">
        <v>202</v>
      </c>
    </row>
    <row r="108" spans="1:29" x14ac:dyDescent="0.2">
      <c r="A108" s="91">
        <v>11</v>
      </c>
      <c r="C108" s="92">
        <v>36949</v>
      </c>
      <c r="D108" s="41" t="s">
        <v>374</v>
      </c>
      <c r="E108" s="41" t="s">
        <v>351</v>
      </c>
      <c r="F108" s="41" t="s">
        <v>352</v>
      </c>
      <c r="G108" s="91" t="s">
        <v>327</v>
      </c>
      <c r="H108" s="41" t="s">
        <v>334</v>
      </c>
      <c r="I108" s="93">
        <v>0</v>
      </c>
      <c r="J108" s="140">
        <f t="shared" si="51"/>
        <v>0</v>
      </c>
      <c r="K108" s="95">
        <v>37073</v>
      </c>
      <c r="L108" s="96">
        <v>32400</v>
      </c>
      <c r="M108" s="97" t="s">
        <v>353</v>
      </c>
      <c r="N108" s="98">
        <v>21.2</v>
      </c>
      <c r="O108" s="141">
        <f t="shared" si="52"/>
        <v>686880</v>
      </c>
      <c r="P108" s="108">
        <v>0.1</v>
      </c>
      <c r="Q108" s="166">
        <f t="shared" si="53"/>
        <v>3240</v>
      </c>
      <c r="S108" s="143">
        <f t="shared" si="54"/>
        <v>37073</v>
      </c>
      <c r="T108" s="143">
        <f t="shared" si="55"/>
        <v>0</v>
      </c>
      <c r="V108" s="142">
        <f t="shared" si="56"/>
        <v>-1200478320</v>
      </c>
      <c r="W108" s="142">
        <f t="shared" si="57"/>
        <v>0</v>
      </c>
      <c r="X108" s="144">
        <f t="shared" si="58"/>
        <v>-1200478320</v>
      </c>
      <c r="AA108" s="41" t="s">
        <v>59</v>
      </c>
      <c r="AC108" s="91" t="s">
        <v>202</v>
      </c>
    </row>
    <row r="109" spans="1:29" x14ac:dyDescent="0.2">
      <c r="A109" s="91">
        <v>11</v>
      </c>
      <c r="C109" s="92">
        <v>36949</v>
      </c>
      <c r="D109" s="41" t="s">
        <v>374</v>
      </c>
      <c r="E109" s="41" t="s">
        <v>351</v>
      </c>
      <c r="F109" s="41" t="s">
        <v>352</v>
      </c>
      <c r="G109" s="91" t="s">
        <v>327</v>
      </c>
      <c r="H109" s="41" t="s">
        <v>334</v>
      </c>
      <c r="I109" s="93">
        <v>0</v>
      </c>
      <c r="J109" s="140">
        <f t="shared" si="51"/>
        <v>0</v>
      </c>
      <c r="K109" s="95">
        <v>37104</v>
      </c>
      <c r="L109" s="96">
        <v>32400</v>
      </c>
      <c r="M109" s="97" t="s">
        <v>353</v>
      </c>
      <c r="N109" s="98">
        <v>21.2</v>
      </c>
      <c r="O109" s="141">
        <f t="shared" si="52"/>
        <v>686880</v>
      </c>
      <c r="P109" s="108">
        <v>0.1</v>
      </c>
      <c r="Q109" s="166">
        <f t="shared" si="53"/>
        <v>3240</v>
      </c>
      <c r="S109" s="143">
        <f t="shared" si="54"/>
        <v>37104</v>
      </c>
      <c r="T109" s="143">
        <f t="shared" si="55"/>
        <v>0</v>
      </c>
      <c r="V109" s="142">
        <f t="shared" si="56"/>
        <v>-1201482720</v>
      </c>
      <c r="W109" s="142">
        <f t="shared" si="57"/>
        <v>0</v>
      </c>
      <c r="X109" s="144">
        <f t="shared" si="58"/>
        <v>-1201482720</v>
      </c>
      <c r="AA109" s="41" t="s">
        <v>59</v>
      </c>
      <c r="AC109" s="91" t="s">
        <v>202</v>
      </c>
    </row>
    <row r="110" spans="1:29" x14ac:dyDescent="0.2">
      <c r="A110" s="91">
        <v>11</v>
      </c>
      <c r="C110" s="92">
        <v>36949</v>
      </c>
      <c r="D110" s="41" t="s">
        <v>374</v>
      </c>
      <c r="E110" s="41" t="s">
        <v>351</v>
      </c>
      <c r="F110" s="41" t="s">
        <v>352</v>
      </c>
      <c r="G110" s="91" t="s">
        <v>327</v>
      </c>
      <c r="H110" s="41" t="s">
        <v>334</v>
      </c>
      <c r="I110" s="93">
        <v>0</v>
      </c>
      <c r="J110" s="140">
        <f t="shared" si="51"/>
        <v>0</v>
      </c>
      <c r="K110" s="95">
        <v>37135</v>
      </c>
      <c r="L110" s="96">
        <v>32400</v>
      </c>
      <c r="M110" s="97" t="s">
        <v>353</v>
      </c>
      <c r="N110" s="98">
        <v>21.2</v>
      </c>
      <c r="O110" s="141">
        <f t="shared" si="52"/>
        <v>686880</v>
      </c>
      <c r="P110" s="108">
        <v>0.1</v>
      </c>
      <c r="Q110" s="166">
        <f t="shared" si="53"/>
        <v>3240</v>
      </c>
      <c r="S110" s="143">
        <f t="shared" si="54"/>
        <v>37135</v>
      </c>
      <c r="T110" s="143">
        <f t="shared" si="55"/>
        <v>0</v>
      </c>
      <c r="V110" s="142">
        <f t="shared" si="56"/>
        <v>-1202487120</v>
      </c>
      <c r="W110" s="142">
        <f t="shared" si="57"/>
        <v>0</v>
      </c>
      <c r="X110" s="144">
        <f t="shared" si="58"/>
        <v>-1202487120</v>
      </c>
      <c r="AA110" s="41" t="s">
        <v>59</v>
      </c>
      <c r="AC110" s="91" t="s">
        <v>202</v>
      </c>
    </row>
    <row r="111" spans="1:29" x14ac:dyDescent="0.2">
      <c r="A111" s="91">
        <v>11</v>
      </c>
      <c r="C111" s="92">
        <v>36949</v>
      </c>
      <c r="D111" s="41" t="s">
        <v>374</v>
      </c>
      <c r="E111" s="41" t="s">
        <v>351</v>
      </c>
      <c r="F111" s="41" t="s">
        <v>352</v>
      </c>
      <c r="G111" s="91" t="s">
        <v>327</v>
      </c>
      <c r="H111" s="41" t="s">
        <v>334</v>
      </c>
      <c r="I111" s="93">
        <v>0</v>
      </c>
      <c r="J111" s="140">
        <f t="shared" si="51"/>
        <v>0</v>
      </c>
      <c r="K111" s="95">
        <v>37165</v>
      </c>
      <c r="L111" s="96">
        <v>32400</v>
      </c>
      <c r="M111" s="97" t="s">
        <v>353</v>
      </c>
      <c r="N111" s="98">
        <v>21.2</v>
      </c>
      <c r="O111" s="141">
        <f t="shared" si="52"/>
        <v>686880</v>
      </c>
      <c r="P111" s="108">
        <v>0.1</v>
      </c>
      <c r="Q111" s="166">
        <f t="shared" si="53"/>
        <v>3240</v>
      </c>
      <c r="S111" s="143">
        <f t="shared" si="54"/>
        <v>37165</v>
      </c>
      <c r="T111" s="143">
        <f t="shared" si="55"/>
        <v>0</v>
      </c>
      <c r="V111" s="142">
        <f t="shared" si="56"/>
        <v>-1203459120</v>
      </c>
      <c r="W111" s="142">
        <f t="shared" si="57"/>
        <v>0</v>
      </c>
      <c r="X111" s="144">
        <f t="shared" si="58"/>
        <v>-1203459120</v>
      </c>
      <c r="AA111" s="41" t="s">
        <v>59</v>
      </c>
      <c r="AC111" s="91" t="s">
        <v>202</v>
      </c>
    </row>
    <row r="112" spans="1:29" x14ac:dyDescent="0.2">
      <c r="A112" s="91">
        <v>11</v>
      </c>
      <c r="C112" s="92">
        <v>36949</v>
      </c>
      <c r="D112" s="41" t="s">
        <v>374</v>
      </c>
      <c r="E112" s="41" t="s">
        <v>351</v>
      </c>
      <c r="F112" s="41" t="s">
        <v>352</v>
      </c>
      <c r="G112" s="91" t="s">
        <v>327</v>
      </c>
      <c r="H112" s="41" t="s">
        <v>334</v>
      </c>
      <c r="I112" s="93">
        <v>0</v>
      </c>
      <c r="J112" s="140">
        <f t="shared" si="51"/>
        <v>0</v>
      </c>
      <c r="K112" s="95">
        <v>37196</v>
      </c>
      <c r="L112" s="96">
        <v>32400</v>
      </c>
      <c r="M112" s="97" t="s">
        <v>353</v>
      </c>
      <c r="N112" s="98">
        <v>21.2</v>
      </c>
      <c r="O112" s="141">
        <f t="shared" si="52"/>
        <v>686880</v>
      </c>
      <c r="P112" s="108">
        <v>0.1</v>
      </c>
      <c r="Q112" s="166">
        <f t="shared" si="53"/>
        <v>3240</v>
      </c>
      <c r="S112" s="143">
        <f t="shared" si="54"/>
        <v>37196</v>
      </c>
      <c r="T112" s="143">
        <f t="shared" si="55"/>
        <v>0</v>
      </c>
      <c r="V112" s="142">
        <f t="shared" si="56"/>
        <v>-1204463520</v>
      </c>
      <c r="W112" s="142">
        <f t="shared" si="57"/>
        <v>0</v>
      </c>
      <c r="X112" s="144">
        <f t="shared" si="58"/>
        <v>-1204463520</v>
      </c>
      <c r="AA112" s="41" t="s">
        <v>59</v>
      </c>
      <c r="AC112" s="91" t="s">
        <v>202</v>
      </c>
    </row>
    <row r="113" spans="1:29" x14ac:dyDescent="0.2">
      <c r="A113" s="91">
        <v>11</v>
      </c>
      <c r="C113" s="92">
        <v>36949</v>
      </c>
      <c r="D113" s="41" t="s">
        <v>374</v>
      </c>
      <c r="E113" s="41" t="s">
        <v>351</v>
      </c>
      <c r="F113" s="41" t="s">
        <v>352</v>
      </c>
      <c r="G113" s="91" t="s">
        <v>327</v>
      </c>
      <c r="H113" s="41" t="s">
        <v>334</v>
      </c>
      <c r="I113" s="93">
        <v>0</v>
      </c>
      <c r="J113" s="140">
        <f t="shared" si="51"/>
        <v>0</v>
      </c>
      <c r="K113" s="95">
        <v>37226</v>
      </c>
      <c r="L113" s="96">
        <v>32400</v>
      </c>
      <c r="M113" s="97" t="s">
        <v>353</v>
      </c>
      <c r="N113" s="98">
        <v>21.2</v>
      </c>
      <c r="O113" s="141">
        <f t="shared" si="52"/>
        <v>686880</v>
      </c>
      <c r="P113" s="108">
        <v>0.1</v>
      </c>
      <c r="Q113" s="166">
        <f t="shared" si="53"/>
        <v>3240</v>
      </c>
      <c r="S113" s="143">
        <f t="shared" si="54"/>
        <v>37226</v>
      </c>
      <c r="T113" s="143">
        <f t="shared" si="55"/>
        <v>0</v>
      </c>
      <c r="V113" s="142">
        <f t="shared" si="56"/>
        <v>-1205435520</v>
      </c>
      <c r="W113" s="142">
        <f t="shared" si="57"/>
        <v>0</v>
      </c>
      <c r="X113" s="144">
        <f t="shared" si="58"/>
        <v>-1205435520</v>
      </c>
      <c r="AA113" s="41" t="s">
        <v>59</v>
      </c>
      <c r="AC113" s="91" t="s">
        <v>202</v>
      </c>
    </row>
    <row r="114" spans="1:29" x14ac:dyDescent="0.2">
      <c r="A114" s="91">
        <v>11</v>
      </c>
      <c r="C114" s="92">
        <v>36949</v>
      </c>
      <c r="D114" s="41" t="s">
        <v>374</v>
      </c>
      <c r="E114" s="41" t="s">
        <v>351</v>
      </c>
      <c r="F114" s="41" t="s">
        <v>352</v>
      </c>
      <c r="G114" s="91" t="s">
        <v>327</v>
      </c>
      <c r="H114" s="41" t="s">
        <v>334</v>
      </c>
      <c r="I114" s="93">
        <v>0</v>
      </c>
      <c r="J114" s="140">
        <f t="shared" si="51"/>
        <v>0</v>
      </c>
      <c r="K114" s="95">
        <v>37257</v>
      </c>
      <c r="L114" s="96">
        <v>32400</v>
      </c>
      <c r="M114" s="97" t="s">
        <v>353</v>
      </c>
      <c r="N114" s="98">
        <v>21.2</v>
      </c>
      <c r="O114" s="141">
        <f t="shared" si="52"/>
        <v>686880</v>
      </c>
      <c r="P114" s="108">
        <v>0.1</v>
      </c>
      <c r="Q114" s="166">
        <f t="shared" si="53"/>
        <v>3240</v>
      </c>
      <c r="S114" s="143">
        <f t="shared" si="54"/>
        <v>37257</v>
      </c>
      <c r="T114" s="143">
        <f t="shared" si="55"/>
        <v>0</v>
      </c>
      <c r="V114" s="142">
        <f t="shared" si="56"/>
        <v>-1206439920</v>
      </c>
      <c r="W114" s="142">
        <f t="shared" si="57"/>
        <v>0</v>
      </c>
      <c r="X114" s="144">
        <f t="shared" si="58"/>
        <v>-1206439920</v>
      </c>
      <c r="AA114" s="41" t="s">
        <v>59</v>
      </c>
      <c r="AC114" s="91" t="s">
        <v>202</v>
      </c>
    </row>
    <row r="115" spans="1:29" x14ac:dyDescent="0.2">
      <c r="A115" s="91">
        <v>11</v>
      </c>
      <c r="C115" s="92">
        <v>36949</v>
      </c>
      <c r="D115" s="41" t="s">
        <v>374</v>
      </c>
      <c r="E115" s="41" t="s">
        <v>351</v>
      </c>
      <c r="F115" s="41" t="s">
        <v>352</v>
      </c>
      <c r="G115" s="91" t="s">
        <v>327</v>
      </c>
      <c r="H115" s="41" t="s">
        <v>334</v>
      </c>
      <c r="I115" s="93">
        <v>0</v>
      </c>
      <c r="J115" s="140">
        <f t="shared" si="51"/>
        <v>0</v>
      </c>
      <c r="K115" s="95">
        <v>37288</v>
      </c>
      <c r="L115" s="96">
        <v>32400</v>
      </c>
      <c r="M115" s="97" t="s">
        <v>353</v>
      </c>
      <c r="N115" s="98">
        <v>21.2</v>
      </c>
      <c r="O115" s="141">
        <f t="shared" si="52"/>
        <v>686880</v>
      </c>
      <c r="P115" s="108">
        <v>0.1</v>
      </c>
      <c r="Q115" s="166">
        <f t="shared" si="53"/>
        <v>3240</v>
      </c>
      <c r="S115" s="143">
        <f t="shared" si="54"/>
        <v>37288</v>
      </c>
      <c r="T115" s="143">
        <f t="shared" si="55"/>
        <v>0</v>
      </c>
      <c r="V115" s="142">
        <f t="shared" si="56"/>
        <v>-1207444320</v>
      </c>
      <c r="W115" s="142">
        <f t="shared" si="57"/>
        <v>0</v>
      </c>
      <c r="X115" s="144">
        <f t="shared" si="58"/>
        <v>-1207444320</v>
      </c>
      <c r="AA115" s="41" t="s">
        <v>59</v>
      </c>
      <c r="AC115" s="91" t="s">
        <v>202</v>
      </c>
    </row>
    <row r="116" spans="1:29" x14ac:dyDescent="0.2">
      <c r="A116" s="91">
        <v>11</v>
      </c>
      <c r="C116" s="92">
        <v>36949</v>
      </c>
      <c r="D116" s="41" t="s">
        <v>374</v>
      </c>
      <c r="E116" s="41" t="s">
        <v>351</v>
      </c>
      <c r="F116" s="41" t="s">
        <v>352</v>
      </c>
      <c r="G116" s="91" t="s">
        <v>327</v>
      </c>
      <c r="H116" s="41" t="s">
        <v>334</v>
      </c>
      <c r="I116" s="93">
        <v>0</v>
      </c>
      <c r="J116" s="140">
        <f t="shared" si="51"/>
        <v>0</v>
      </c>
      <c r="K116" s="95">
        <v>37316</v>
      </c>
      <c r="L116" s="96">
        <v>32400</v>
      </c>
      <c r="M116" s="97" t="s">
        <v>353</v>
      </c>
      <c r="N116" s="98">
        <v>21.2</v>
      </c>
      <c r="O116" s="141">
        <f t="shared" si="52"/>
        <v>686880</v>
      </c>
      <c r="P116" s="108">
        <v>0.1</v>
      </c>
      <c r="Q116" s="166">
        <f t="shared" si="53"/>
        <v>3240</v>
      </c>
      <c r="S116" s="143">
        <f t="shared" si="54"/>
        <v>37316</v>
      </c>
      <c r="T116" s="143">
        <f t="shared" si="55"/>
        <v>0</v>
      </c>
      <c r="V116" s="142">
        <f t="shared" si="56"/>
        <v>-1208351520</v>
      </c>
      <c r="W116" s="142">
        <f t="shared" si="57"/>
        <v>0</v>
      </c>
      <c r="X116" s="144">
        <f t="shared" si="58"/>
        <v>-1208351520</v>
      </c>
      <c r="AA116" s="41" t="s">
        <v>59</v>
      </c>
      <c r="AC116" s="91" t="s">
        <v>202</v>
      </c>
    </row>
    <row r="118" spans="1:29" x14ac:dyDescent="0.2">
      <c r="A118" s="91">
        <v>12</v>
      </c>
      <c r="D118" s="41" t="s">
        <v>374</v>
      </c>
      <c r="E118" s="41" t="s">
        <v>14</v>
      </c>
      <c r="F118" s="41" t="s">
        <v>19</v>
      </c>
      <c r="H118" s="41" t="s">
        <v>354</v>
      </c>
      <c r="I118" s="93">
        <v>0</v>
      </c>
      <c r="J118" s="140">
        <f>+I118*L118</f>
        <v>0</v>
      </c>
      <c r="K118" s="95"/>
      <c r="N118" s="98"/>
      <c r="O118" s="141">
        <f>L118*N118</f>
        <v>0</v>
      </c>
      <c r="P118" s="108">
        <v>0</v>
      </c>
      <c r="Q118" s="166">
        <f>P118*L118</f>
        <v>0</v>
      </c>
      <c r="V118" s="142">
        <v>677114</v>
      </c>
      <c r="W118" s="142"/>
      <c r="X118" s="144">
        <f>SUM(V118:W118)</f>
        <v>677114</v>
      </c>
      <c r="AA118" s="41" t="s">
        <v>59</v>
      </c>
    </row>
    <row r="120" spans="1:29" x14ac:dyDescent="0.2">
      <c r="A120" s="91">
        <v>13</v>
      </c>
      <c r="D120" s="41" t="s">
        <v>35</v>
      </c>
      <c r="E120" s="41" t="s">
        <v>14</v>
      </c>
      <c r="F120" s="41" t="s">
        <v>347</v>
      </c>
      <c r="H120" s="41" t="s">
        <v>355</v>
      </c>
      <c r="I120" s="93">
        <v>0</v>
      </c>
      <c r="J120" s="140">
        <f>+I120*L120</f>
        <v>0</v>
      </c>
      <c r="K120" s="95"/>
      <c r="N120" s="98"/>
      <c r="O120" s="141">
        <f>L120*N120</f>
        <v>0</v>
      </c>
      <c r="P120" s="108">
        <v>0</v>
      </c>
      <c r="Q120" s="166">
        <f>P120*L120</f>
        <v>0</v>
      </c>
      <c r="V120" s="142">
        <v>80418</v>
      </c>
      <c r="W120" s="142"/>
      <c r="X120" s="144">
        <f>SUM(V120:W120)</f>
        <v>80418</v>
      </c>
      <c r="AA120" s="41" t="s">
        <v>60</v>
      </c>
    </row>
    <row r="122" spans="1:29" x14ac:dyDescent="0.2">
      <c r="A122" s="91">
        <v>14</v>
      </c>
      <c r="D122" s="41" t="s">
        <v>235</v>
      </c>
      <c r="E122" s="41" t="s">
        <v>14</v>
      </c>
      <c r="F122" s="41" t="s">
        <v>347</v>
      </c>
      <c r="H122" s="41" t="s">
        <v>354</v>
      </c>
      <c r="I122" s="93">
        <v>0</v>
      </c>
      <c r="J122" s="140">
        <f>+I122*L122</f>
        <v>0</v>
      </c>
      <c r="K122" s="95"/>
      <c r="N122" s="98"/>
      <c r="O122" s="141">
        <f>L122*N122</f>
        <v>0</v>
      </c>
      <c r="P122" s="108">
        <v>0</v>
      </c>
      <c r="Q122" s="166">
        <f>P122*L122</f>
        <v>0</v>
      </c>
      <c r="V122" s="142">
        <v>200417</v>
      </c>
      <c r="W122" s="142"/>
      <c r="X122" s="144">
        <f>SUM(V122:W122)</f>
        <v>200417</v>
      </c>
      <c r="AA122" s="41" t="s">
        <v>60</v>
      </c>
    </row>
    <row r="123" spans="1:29" x14ac:dyDescent="0.2">
      <c r="A123" s="91">
        <v>14</v>
      </c>
      <c r="D123" s="41" t="s">
        <v>235</v>
      </c>
      <c r="E123" s="41" t="s">
        <v>14</v>
      </c>
      <c r="F123" s="41" t="s">
        <v>347</v>
      </c>
      <c r="H123" s="41" t="s">
        <v>354</v>
      </c>
      <c r="I123" s="93">
        <v>0</v>
      </c>
      <c r="J123" s="140">
        <f>+I123*L123</f>
        <v>0</v>
      </c>
      <c r="K123" s="95"/>
      <c r="N123" s="98"/>
      <c r="O123" s="141">
        <f>L123*N123</f>
        <v>0</v>
      </c>
      <c r="P123" s="108">
        <v>0</v>
      </c>
      <c r="Q123" s="166">
        <f>P123*L123</f>
        <v>0</v>
      </c>
      <c r="V123" s="142">
        <v>197686</v>
      </c>
      <c r="W123" s="142"/>
      <c r="X123" s="144">
        <f>SUM(V123:W123)</f>
        <v>197686</v>
      </c>
      <c r="AA123" s="41" t="s">
        <v>60</v>
      </c>
    </row>
    <row r="125" spans="1:29" x14ac:dyDescent="0.2">
      <c r="A125" s="91">
        <v>15</v>
      </c>
      <c r="B125" s="91" t="s">
        <v>356</v>
      </c>
      <c r="C125" s="92">
        <v>36952</v>
      </c>
      <c r="D125" s="41" t="s">
        <v>357</v>
      </c>
      <c r="E125" s="41" t="s">
        <v>14</v>
      </c>
      <c r="F125" s="41" t="s">
        <v>358</v>
      </c>
      <c r="G125" s="91" t="s">
        <v>327</v>
      </c>
      <c r="H125" s="41" t="s">
        <v>330</v>
      </c>
      <c r="I125" s="93">
        <v>0.47499999999999998</v>
      </c>
      <c r="J125" s="140">
        <f>+I125*L125</f>
        <v>95000</v>
      </c>
      <c r="K125" s="95">
        <v>37316</v>
      </c>
      <c r="L125" s="96">
        <v>200000</v>
      </c>
      <c r="M125" s="97" t="s">
        <v>25</v>
      </c>
      <c r="N125" s="98">
        <v>4</v>
      </c>
      <c r="O125" s="141">
        <f>L125*N125</f>
        <v>800000</v>
      </c>
      <c r="P125" s="108">
        <v>1.4999999999999999E-2</v>
      </c>
      <c r="Q125" s="166">
        <f>P125*L125</f>
        <v>3000</v>
      </c>
      <c r="S125" s="143">
        <f>VLOOKUP(K125,Prices,HLOOKUP(F125,Column,2))</f>
        <v>0</v>
      </c>
      <c r="T125" s="143">
        <f>IF(S125=0,VLOOKUP(K125,FWD_Prices,HLOOKUP(F125,Column,2)),0)</f>
        <v>0</v>
      </c>
      <c r="V125" s="142">
        <f>IF(H125="Swap",S125-N125,IF(H125="Call",MAX(S125-N125,0),IF(H125="Put",MAX(N125-S125,0),"Error on Structure")))
* IF(G125="Buy",1,IF(G125="Sell",-1,"Error on Buy/Sell"))
* L125
* IF(S125=0,0,1)</f>
        <v>0</v>
      </c>
      <c r="W125" s="142">
        <f>IF(H125="Swap",T125-N125,IF(H125="Call",MAX(T125-N125,0),IF(H125="Put",MAX(N125-T125,0),"Error on Structure")))
* IF(G125="Buy",1,IF(G125="Sell",-1,"Error on Buy/Sell"))
* L125
* IF(T125=0,0,1)</f>
        <v>0</v>
      </c>
      <c r="X125" s="144">
        <f>SUM(V125:W125)</f>
        <v>0</v>
      </c>
      <c r="AA125" s="41" t="s">
        <v>208</v>
      </c>
      <c r="AC125" s="91" t="s">
        <v>201</v>
      </c>
    </row>
    <row r="126" spans="1:29" x14ac:dyDescent="0.2">
      <c r="A126" s="91">
        <v>15</v>
      </c>
      <c r="B126" s="91" t="s">
        <v>356</v>
      </c>
      <c r="C126" s="92">
        <v>36952</v>
      </c>
      <c r="D126" s="41" t="s">
        <v>357</v>
      </c>
      <c r="E126" s="41" t="s">
        <v>14</v>
      </c>
      <c r="F126" s="41" t="s">
        <v>358</v>
      </c>
      <c r="G126" s="91" t="s">
        <v>327</v>
      </c>
      <c r="H126" s="41" t="s">
        <v>330</v>
      </c>
      <c r="I126" s="93">
        <v>0.47499999999999998</v>
      </c>
      <c r="J126" s="140">
        <f t="shared" ref="J126:J146" si="59">+I126*L126</f>
        <v>95000</v>
      </c>
      <c r="K126" s="95">
        <v>37347</v>
      </c>
      <c r="L126" s="96">
        <v>200000</v>
      </c>
      <c r="M126" s="97" t="s">
        <v>25</v>
      </c>
      <c r="N126" s="98">
        <v>4</v>
      </c>
      <c r="O126" s="141">
        <f t="shared" ref="O126:O146" si="60">L126*N126</f>
        <v>800000</v>
      </c>
      <c r="P126" s="108">
        <v>1.4999999999999999E-2</v>
      </c>
      <c r="Q126" s="166">
        <f t="shared" ref="Q126:Q146" si="61">P126*L126</f>
        <v>3000</v>
      </c>
      <c r="S126" s="143">
        <f t="shared" ref="S126:S146" si="62">VLOOKUP(K126,Prices,HLOOKUP(F126,Column,2))</f>
        <v>0</v>
      </c>
      <c r="T126" s="143">
        <f t="shared" ref="T126:T146" si="63">IF(S126=0,VLOOKUP(K126,FWD_Prices,HLOOKUP(F126,Column,2)),0)</f>
        <v>0</v>
      </c>
      <c r="V126" s="142">
        <f t="shared" ref="V126:V146" si="64">IF(H126="Swap",S126-N126,IF(H126="Call",MAX(S126-N126,0),IF(H126="Put",MAX(N126-S126,0),"Error on Structure")))
* IF(G126="Buy",1,IF(G126="Sell",-1,"Error on Buy/Sell"))
* L126
* IF(S126=0,0,1)</f>
        <v>0</v>
      </c>
      <c r="W126" s="142">
        <f t="shared" ref="W126:W146" si="65">IF(H126="Swap",T126-N126,IF(H126="Call",MAX(T126-N126,0),IF(H126="Put",MAX(N126-T126,0),"Error on Structure")))
* IF(G126="Buy",1,IF(G126="Sell",-1,"Error on Buy/Sell"))
* L126
* IF(T126=0,0,1)</f>
        <v>0</v>
      </c>
      <c r="X126" s="144">
        <f t="shared" ref="X126:X146" si="66">SUM(V126:W126)</f>
        <v>0</v>
      </c>
      <c r="AA126" s="41" t="s">
        <v>208</v>
      </c>
      <c r="AC126" s="91" t="s">
        <v>201</v>
      </c>
    </row>
    <row r="127" spans="1:29" x14ac:dyDescent="0.2">
      <c r="A127" s="91">
        <v>15</v>
      </c>
      <c r="B127" s="91" t="s">
        <v>356</v>
      </c>
      <c r="C127" s="92">
        <v>36952</v>
      </c>
      <c r="D127" s="41" t="s">
        <v>357</v>
      </c>
      <c r="E127" s="41" t="s">
        <v>14</v>
      </c>
      <c r="F127" s="41" t="s">
        <v>358</v>
      </c>
      <c r="G127" s="91" t="s">
        <v>327</v>
      </c>
      <c r="H127" s="41" t="s">
        <v>330</v>
      </c>
      <c r="I127" s="93">
        <v>0.47499999999999998</v>
      </c>
      <c r="J127" s="140">
        <f t="shared" si="59"/>
        <v>95000</v>
      </c>
      <c r="K127" s="95">
        <v>37377</v>
      </c>
      <c r="L127" s="96">
        <v>200000</v>
      </c>
      <c r="M127" s="97" t="s">
        <v>25</v>
      </c>
      <c r="N127" s="98">
        <v>4</v>
      </c>
      <c r="O127" s="141">
        <f t="shared" si="60"/>
        <v>800000</v>
      </c>
      <c r="P127" s="108">
        <v>1.4999999999999999E-2</v>
      </c>
      <c r="Q127" s="166">
        <f t="shared" si="61"/>
        <v>3000</v>
      </c>
      <c r="S127" s="143">
        <f t="shared" si="62"/>
        <v>0</v>
      </c>
      <c r="T127" s="143">
        <f t="shared" si="63"/>
        <v>0</v>
      </c>
      <c r="V127" s="142">
        <f t="shared" si="64"/>
        <v>0</v>
      </c>
      <c r="W127" s="142">
        <f t="shared" si="65"/>
        <v>0</v>
      </c>
      <c r="X127" s="144">
        <f t="shared" si="66"/>
        <v>0</v>
      </c>
      <c r="AA127" s="41" t="s">
        <v>208</v>
      </c>
      <c r="AC127" s="91" t="s">
        <v>201</v>
      </c>
    </row>
    <row r="128" spans="1:29" x14ac:dyDescent="0.2">
      <c r="A128" s="91">
        <v>15</v>
      </c>
      <c r="B128" s="91" t="s">
        <v>356</v>
      </c>
      <c r="C128" s="92">
        <v>36952</v>
      </c>
      <c r="D128" s="41" t="s">
        <v>357</v>
      </c>
      <c r="E128" s="41" t="s">
        <v>14</v>
      </c>
      <c r="F128" s="41" t="s">
        <v>358</v>
      </c>
      <c r="G128" s="91" t="s">
        <v>327</v>
      </c>
      <c r="H128" s="41" t="s">
        <v>330</v>
      </c>
      <c r="I128" s="93">
        <v>0.47499999999999998</v>
      </c>
      <c r="J128" s="140">
        <f t="shared" si="59"/>
        <v>95000</v>
      </c>
      <c r="K128" s="95">
        <v>37408</v>
      </c>
      <c r="L128" s="96">
        <v>200000</v>
      </c>
      <c r="M128" s="97" t="s">
        <v>25</v>
      </c>
      <c r="N128" s="98">
        <v>4</v>
      </c>
      <c r="O128" s="141">
        <f t="shared" si="60"/>
        <v>800000</v>
      </c>
      <c r="P128" s="108">
        <v>1.4999999999999999E-2</v>
      </c>
      <c r="Q128" s="166">
        <f t="shared" si="61"/>
        <v>3000</v>
      </c>
      <c r="S128" s="143">
        <f t="shared" si="62"/>
        <v>0</v>
      </c>
      <c r="T128" s="143">
        <f t="shared" si="63"/>
        <v>0</v>
      </c>
      <c r="V128" s="142">
        <f t="shared" si="64"/>
        <v>0</v>
      </c>
      <c r="W128" s="142">
        <f t="shared" si="65"/>
        <v>0</v>
      </c>
      <c r="X128" s="144">
        <f t="shared" si="66"/>
        <v>0</v>
      </c>
      <c r="AA128" s="41" t="s">
        <v>208</v>
      </c>
      <c r="AC128" s="91" t="s">
        <v>201</v>
      </c>
    </row>
    <row r="129" spans="1:29" x14ac:dyDescent="0.2">
      <c r="A129" s="91">
        <v>15</v>
      </c>
      <c r="B129" s="91" t="s">
        <v>356</v>
      </c>
      <c r="C129" s="92">
        <v>36952</v>
      </c>
      <c r="D129" s="41" t="s">
        <v>357</v>
      </c>
      <c r="E129" s="41" t="s">
        <v>14</v>
      </c>
      <c r="F129" s="41" t="s">
        <v>358</v>
      </c>
      <c r="G129" s="91" t="s">
        <v>327</v>
      </c>
      <c r="H129" s="41" t="s">
        <v>330</v>
      </c>
      <c r="I129" s="93">
        <v>0.47499999999999998</v>
      </c>
      <c r="J129" s="140">
        <f t="shared" si="59"/>
        <v>95000</v>
      </c>
      <c r="K129" s="95">
        <v>37438</v>
      </c>
      <c r="L129" s="96">
        <v>200000</v>
      </c>
      <c r="M129" s="97" t="s">
        <v>25</v>
      </c>
      <c r="N129" s="98">
        <v>4</v>
      </c>
      <c r="O129" s="141">
        <f t="shared" si="60"/>
        <v>800000</v>
      </c>
      <c r="P129" s="108">
        <v>1.4999999999999999E-2</v>
      </c>
      <c r="Q129" s="166">
        <f t="shared" si="61"/>
        <v>3000</v>
      </c>
      <c r="S129" s="143">
        <f t="shared" si="62"/>
        <v>0</v>
      </c>
      <c r="T129" s="143">
        <f t="shared" si="63"/>
        <v>0</v>
      </c>
      <c r="V129" s="142">
        <f t="shared" si="64"/>
        <v>0</v>
      </c>
      <c r="W129" s="142">
        <f t="shared" si="65"/>
        <v>0</v>
      </c>
      <c r="X129" s="144">
        <f t="shared" si="66"/>
        <v>0</v>
      </c>
      <c r="AA129" s="41" t="s">
        <v>208</v>
      </c>
      <c r="AC129" s="91" t="s">
        <v>201</v>
      </c>
    </row>
    <row r="130" spans="1:29" x14ac:dyDescent="0.2">
      <c r="A130" s="91">
        <v>15</v>
      </c>
      <c r="B130" s="91" t="s">
        <v>356</v>
      </c>
      <c r="C130" s="92">
        <v>36952</v>
      </c>
      <c r="D130" s="41" t="s">
        <v>357</v>
      </c>
      <c r="E130" s="41" t="s">
        <v>14</v>
      </c>
      <c r="F130" s="41" t="s">
        <v>358</v>
      </c>
      <c r="G130" s="91" t="s">
        <v>327</v>
      </c>
      <c r="H130" s="41" t="s">
        <v>330</v>
      </c>
      <c r="I130" s="93">
        <v>0.47499999999999998</v>
      </c>
      <c r="J130" s="140">
        <f t="shared" si="59"/>
        <v>95000</v>
      </c>
      <c r="K130" s="95">
        <v>37469</v>
      </c>
      <c r="L130" s="96">
        <v>200000</v>
      </c>
      <c r="M130" s="97" t="s">
        <v>25</v>
      </c>
      <c r="N130" s="98">
        <v>4</v>
      </c>
      <c r="O130" s="141">
        <f t="shared" si="60"/>
        <v>800000</v>
      </c>
      <c r="P130" s="108">
        <v>1.4999999999999999E-2</v>
      </c>
      <c r="Q130" s="166">
        <f t="shared" si="61"/>
        <v>3000</v>
      </c>
      <c r="S130" s="143">
        <f t="shared" si="62"/>
        <v>0</v>
      </c>
      <c r="T130" s="143">
        <f t="shared" si="63"/>
        <v>0</v>
      </c>
      <c r="V130" s="142">
        <f t="shared" si="64"/>
        <v>0</v>
      </c>
      <c r="W130" s="142">
        <f t="shared" si="65"/>
        <v>0</v>
      </c>
      <c r="X130" s="144">
        <f t="shared" si="66"/>
        <v>0</v>
      </c>
      <c r="AA130" s="41" t="s">
        <v>208</v>
      </c>
      <c r="AC130" s="91" t="s">
        <v>201</v>
      </c>
    </row>
    <row r="131" spans="1:29" x14ac:dyDescent="0.2">
      <c r="A131" s="91">
        <v>15</v>
      </c>
      <c r="B131" s="91" t="s">
        <v>356</v>
      </c>
      <c r="C131" s="92">
        <v>36952</v>
      </c>
      <c r="D131" s="41" t="s">
        <v>357</v>
      </c>
      <c r="E131" s="41" t="s">
        <v>14</v>
      </c>
      <c r="F131" s="41" t="s">
        <v>358</v>
      </c>
      <c r="G131" s="91" t="s">
        <v>327</v>
      </c>
      <c r="H131" s="41" t="s">
        <v>330</v>
      </c>
      <c r="I131" s="93">
        <v>0.47499999999999998</v>
      </c>
      <c r="J131" s="140">
        <f t="shared" si="59"/>
        <v>95000</v>
      </c>
      <c r="K131" s="95">
        <v>37500</v>
      </c>
      <c r="L131" s="96">
        <v>200000</v>
      </c>
      <c r="M131" s="97" t="s">
        <v>25</v>
      </c>
      <c r="N131" s="98">
        <v>4</v>
      </c>
      <c r="O131" s="141">
        <f t="shared" si="60"/>
        <v>800000</v>
      </c>
      <c r="P131" s="108">
        <v>1.4999999999999999E-2</v>
      </c>
      <c r="Q131" s="166">
        <f t="shared" si="61"/>
        <v>3000</v>
      </c>
      <c r="S131" s="143">
        <f t="shared" si="62"/>
        <v>0</v>
      </c>
      <c r="T131" s="143">
        <f t="shared" si="63"/>
        <v>0</v>
      </c>
      <c r="V131" s="142">
        <f t="shared" si="64"/>
        <v>0</v>
      </c>
      <c r="W131" s="142">
        <f t="shared" si="65"/>
        <v>0</v>
      </c>
      <c r="X131" s="144">
        <f t="shared" si="66"/>
        <v>0</v>
      </c>
      <c r="AA131" s="41" t="s">
        <v>208</v>
      </c>
      <c r="AC131" s="91" t="s">
        <v>201</v>
      </c>
    </row>
    <row r="132" spans="1:29" x14ac:dyDescent="0.2">
      <c r="A132" s="91">
        <v>15</v>
      </c>
      <c r="B132" s="91" t="s">
        <v>356</v>
      </c>
      <c r="C132" s="92">
        <v>36952</v>
      </c>
      <c r="D132" s="41" t="s">
        <v>357</v>
      </c>
      <c r="E132" s="41" t="s">
        <v>14</v>
      </c>
      <c r="F132" s="41" t="s">
        <v>358</v>
      </c>
      <c r="G132" s="91" t="s">
        <v>327</v>
      </c>
      <c r="H132" s="41" t="s">
        <v>330</v>
      </c>
      <c r="I132" s="93">
        <v>0.47499999999999998</v>
      </c>
      <c r="J132" s="140">
        <f t="shared" si="59"/>
        <v>95000</v>
      </c>
      <c r="K132" s="95">
        <v>37530</v>
      </c>
      <c r="L132" s="96">
        <v>200000</v>
      </c>
      <c r="M132" s="97" t="s">
        <v>25</v>
      </c>
      <c r="N132" s="98">
        <v>4</v>
      </c>
      <c r="O132" s="141">
        <f t="shared" si="60"/>
        <v>800000</v>
      </c>
      <c r="P132" s="108">
        <v>1.4999999999999999E-2</v>
      </c>
      <c r="Q132" s="166">
        <f t="shared" si="61"/>
        <v>3000</v>
      </c>
      <c r="S132" s="143">
        <f t="shared" si="62"/>
        <v>0</v>
      </c>
      <c r="T132" s="143">
        <f t="shared" si="63"/>
        <v>0</v>
      </c>
      <c r="V132" s="142">
        <f t="shared" si="64"/>
        <v>0</v>
      </c>
      <c r="W132" s="142">
        <f t="shared" si="65"/>
        <v>0</v>
      </c>
      <c r="X132" s="144">
        <f t="shared" si="66"/>
        <v>0</v>
      </c>
      <c r="AA132" s="41" t="s">
        <v>208</v>
      </c>
      <c r="AC132" s="91" t="s">
        <v>201</v>
      </c>
    </row>
    <row r="133" spans="1:29" x14ac:dyDescent="0.2">
      <c r="A133" s="91">
        <v>15</v>
      </c>
      <c r="B133" s="91" t="s">
        <v>356</v>
      </c>
      <c r="C133" s="92">
        <v>36952</v>
      </c>
      <c r="D133" s="41" t="s">
        <v>357</v>
      </c>
      <c r="E133" s="41" t="s">
        <v>14</v>
      </c>
      <c r="F133" s="41" t="s">
        <v>358</v>
      </c>
      <c r="G133" s="91" t="s">
        <v>327</v>
      </c>
      <c r="H133" s="41" t="s">
        <v>330</v>
      </c>
      <c r="I133" s="93">
        <v>0.47499999999999998</v>
      </c>
      <c r="J133" s="140">
        <f t="shared" si="59"/>
        <v>95000</v>
      </c>
      <c r="K133" s="95">
        <v>37561</v>
      </c>
      <c r="L133" s="96">
        <v>200000</v>
      </c>
      <c r="M133" s="97" t="s">
        <v>25</v>
      </c>
      <c r="N133" s="98">
        <v>4</v>
      </c>
      <c r="O133" s="141">
        <f t="shared" si="60"/>
        <v>800000</v>
      </c>
      <c r="P133" s="108">
        <v>1.4999999999999999E-2</v>
      </c>
      <c r="Q133" s="166">
        <f t="shared" si="61"/>
        <v>3000</v>
      </c>
      <c r="S133" s="143">
        <f t="shared" si="62"/>
        <v>0</v>
      </c>
      <c r="T133" s="143">
        <f t="shared" si="63"/>
        <v>0</v>
      </c>
      <c r="V133" s="142">
        <f t="shared" si="64"/>
        <v>0</v>
      </c>
      <c r="W133" s="142">
        <f t="shared" si="65"/>
        <v>0</v>
      </c>
      <c r="X133" s="144">
        <f t="shared" si="66"/>
        <v>0</v>
      </c>
      <c r="AA133" s="41" t="s">
        <v>208</v>
      </c>
      <c r="AC133" s="91" t="s">
        <v>201</v>
      </c>
    </row>
    <row r="134" spans="1:29" x14ac:dyDescent="0.2">
      <c r="A134" s="91">
        <v>15</v>
      </c>
      <c r="B134" s="91" t="s">
        <v>356</v>
      </c>
      <c r="C134" s="92">
        <v>36952</v>
      </c>
      <c r="D134" s="41" t="s">
        <v>357</v>
      </c>
      <c r="E134" s="41" t="s">
        <v>14</v>
      </c>
      <c r="F134" s="41" t="s">
        <v>358</v>
      </c>
      <c r="G134" s="91" t="s">
        <v>327</v>
      </c>
      <c r="H134" s="41" t="s">
        <v>330</v>
      </c>
      <c r="I134" s="93">
        <v>0.47499999999999998</v>
      </c>
      <c r="J134" s="140">
        <f t="shared" si="59"/>
        <v>95000</v>
      </c>
      <c r="K134" s="95">
        <v>37591</v>
      </c>
      <c r="L134" s="96">
        <v>200000</v>
      </c>
      <c r="M134" s="97" t="s">
        <v>25</v>
      </c>
      <c r="N134" s="98">
        <v>4</v>
      </c>
      <c r="O134" s="141">
        <f t="shared" si="60"/>
        <v>800000</v>
      </c>
      <c r="P134" s="108">
        <v>1.4999999999999999E-2</v>
      </c>
      <c r="Q134" s="166">
        <f t="shared" si="61"/>
        <v>3000</v>
      </c>
      <c r="S134" s="143">
        <f t="shared" si="62"/>
        <v>0</v>
      </c>
      <c r="T134" s="143">
        <f t="shared" si="63"/>
        <v>0</v>
      </c>
      <c r="V134" s="142">
        <f t="shared" si="64"/>
        <v>0</v>
      </c>
      <c r="W134" s="142">
        <f t="shared" si="65"/>
        <v>0</v>
      </c>
      <c r="X134" s="144">
        <f t="shared" si="66"/>
        <v>0</v>
      </c>
      <c r="AA134" s="41" t="s">
        <v>208</v>
      </c>
      <c r="AC134" s="91" t="s">
        <v>201</v>
      </c>
    </row>
    <row r="135" spans="1:29" x14ac:dyDescent="0.2">
      <c r="A135" s="91">
        <v>15</v>
      </c>
      <c r="B135" s="91" t="s">
        <v>356</v>
      </c>
      <c r="C135" s="92">
        <v>36952</v>
      </c>
      <c r="D135" s="41" t="s">
        <v>357</v>
      </c>
      <c r="E135" s="41" t="s">
        <v>14</v>
      </c>
      <c r="F135" s="41" t="s">
        <v>358</v>
      </c>
      <c r="G135" s="91" t="s">
        <v>327</v>
      </c>
      <c r="H135" s="41" t="s">
        <v>330</v>
      </c>
      <c r="I135" s="93">
        <v>0.47499999999999998</v>
      </c>
      <c r="J135" s="140">
        <f t="shared" si="59"/>
        <v>95000</v>
      </c>
      <c r="K135" s="95">
        <v>37622</v>
      </c>
      <c r="L135" s="96">
        <v>200000</v>
      </c>
      <c r="M135" s="97" t="s">
        <v>25</v>
      </c>
      <c r="N135" s="98">
        <v>4</v>
      </c>
      <c r="O135" s="141">
        <f t="shared" si="60"/>
        <v>800000</v>
      </c>
      <c r="P135" s="108">
        <v>1.4999999999999999E-2</v>
      </c>
      <c r="Q135" s="166">
        <f t="shared" si="61"/>
        <v>3000</v>
      </c>
      <c r="S135" s="143">
        <f t="shared" si="62"/>
        <v>0</v>
      </c>
      <c r="T135" s="143">
        <f t="shared" si="63"/>
        <v>0</v>
      </c>
      <c r="V135" s="142">
        <f t="shared" si="64"/>
        <v>0</v>
      </c>
      <c r="W135" s="142">
        <f t="shared" si="65"/>
        <v>0</v>
      </c>
      <c r="X135" s="144">
        <f t="shared" si="66"/>
        <v>0</v>
      </c>
      <c r="AA135" s="41" t="s">
        <v>208</v>
      </c>
      <c r="AC135" s="91" t="s">
        <v>201</v>
      </c>
    </row>
    <row r="136" spans="1:29" x14ac:dyDescent="0.2">
      <c r="A136" s="91">
        <v>15</v>
      </c>
      <c r="B136" s="91" t="s">
        <v>356</v>
      </c>
      <c r="C136" s="92">
        <v>36952</v>
      </c>
      <c r="D136" s="41" t="s">
        <v>357</v>
      </c>
      <c r="E136" s="41" t="s">
        <v>14</v>
      </c>
      <c r="F136" s="41" t="s">
        <v>358</v>
      </c>
      <c r="G136" s="91" t="s">
        <v>327</v>
      </c>
      <c r="H136" s="41" t="s">
        <v>330</v>
      </c>
      <c r="I136" s="93">
        <v>0.47499999999999998</v>
      </c>
      <c r="J136" s="140">
        <f t="shared" si="59"/>
        <v>95000</v>
      </c>
      <c r="K136" s="95">
        <v>37653</v>
      </c>
      <c r="L136" s="96">
        <v>200000</v>
      </c>
      <c r="M136" s="97" t="s">
        <v>25</v>
      </c>
      <c r="N136" s="98">
        <v>4</v>
      </c>
      <c r="O136" s="141">
        <f t="shared" si="60"/>
        <v>800000</v>
      </c>
      <c r="P136" s="108">
        <v>1.4999999999999999E-2</v>
      </c>
      <c r="Q136" s="166">
        <f t="shared" si="61"/>
        <v>3000</v>
      </c>
      <c r="S136" s="143">
        <f t="shared" si="62"/>
        <v>0</v>
      </c>
      <c r="T136" s="143">
        <f t="shared" si="63"/>
        <v>0</v>
      </c>
      <c r="V136" s="142">
        <f t="shared" si="64"/>
        <v>0</v>
      </c>
      <c r="W136" s="142">
        <f t="shared" si="65"/>
        <v>0</v>
      </c>
      <c r="X136" s="144">
        <f t="shared" si="66"/>
        <v>0</v>
      </c>
      <c r="AA136" s="41" t="s">
        <v>208</v>
      </c>
      <c r="AC136" s="91" t="s">
        <v>201</v>
      </c>
    </row>
    <row r="137" spans="1:29" x14ac:dyDescent="0.2">
      <c r="A137" s="91">
        <v>15</v>
      </c>
      <c r="B137" s="91" t="s">
        <v>356</v>
      </c>
      <c r="C137" s="92">
        <v>36952</v>
      </c>
      <c r="D137" s="41" t="s">
        <v>357</v>
      </c>
      <c r="E137" s="41" t="s">
        <v>14</v>
      </c>
      <c r="F137" s="41" t="s">
        <v>358</v>
      </c>
      <c r="G137" s="91" t="s">
        <v>327</v>
      </c>
      <c r="H137" s="41" t="s">
        <v>330</v>
      </c>
      <c r="I137" s="93">
        <v>0.57499999999999996</v>
      </c>
      <c r="J137" s="140">
        <f t="shared" si="59"/>
        <v>114999.99999999999</v>
      </c>
      <c r="K137" s="95">
        <v>37681</v>
      </c>
      <c r="L137" s="96">
        <v>200000</v>
      </c>
      <c r="M137" s="97" t="s">
        <v>25</v>
      </c>
      <c r="N137" s="98">
        <v>4</v>
      </c>
      <c r="O137" s="141">
        <f t="shared" si="60"/>
        <v>800000</v>
      </c>
      <c r="P137" s="108">
        <v>1.4999999999999999E-2</v>
      </c>
      <c r="Q137" s="166">
        <f t="shared" si="61"/>
        <v>3000</v>
      </c>
      <c r="S137" s="143">
        <f t="shared" si="62"/>
        <v>0</v>
      </c>
      <c r="T137" s="143">
        <f t="shared" si="63"/>
        <v>0</v>
      </c>
      <c r="V137" s="142">
        <f t="shared" si="64"/>
        <v>0</v>
      </c>
      <c r="W137" s="142">
        <f t="shared" si="65"/>
        <v>0</v>
      </c>
      <c r="X137" s="144">
        <f t="shared" si="66"/>
        <v>0</v>
      </c>
      <c r="AA137" s="41" t="s">
        <v>208</v>
      </c>
      <c r="AC137" s="91" t="s">
        <v>201</v>
      </c>
    </row>
    <row r="138" spans="1:29" x14ac:dyDescent="0.2">
      <c r="A138" s="91">
        <v>15</v>
      </c>
      <c r="B138" s="91" t="s">
        <v>356</v>
      </c>
      <c r="C138" s="92">
        <v>36952</v>
      </c>
      <c r="D138" s="41" t="s">
        <v>357</v>
      </c>
      <c r="E138" s="41" t="s">
        <v>14</v>
      </c>
      <c r="F138" s="41" t="s">
        <v>358</v>
      </c>
      <c r="G138" s="91" t="s">
        <v>327</v>
      </c>
      <c r="H138" s="41" t="s">
        <v>330</v>
      </c>
      <c r="I138" s="93">
        <v>0.57499999999999996</v>
      </c>
      <c r="J138" s="140">
        <f t="shared" si="59"/>
        <v>114999.99999999999</v>
      </c>
      <c r="K138" s="95">
        <v>37712</v>
      </c>
      <c r="L138" s="96">
        <v>200000</v>
      </c>
      <c r="M138" s="97" t="s">
        <v>25</v>
      </c>
      <c r="N138" s="98">
        <v>4</v>
      </c>
      <c r="O138" s="141">
        <f t="shared" si="60"/>
        <v>800000</v>
      </c>
      <c r="P138" s="108">
        <v>1.4999999999999999E-2</v>
      </c>
      <c r="Q138" s="166">
        <f t="shared" si="61"/>
        <v>3000</v>
      </c>
      <c r="S138" s="143">
        <f t="shared" si="62"/>
        <v>0</v>
      </c>
      <c r="T138" s="143">
        <f t="shared" si="63"/>
        <v>0</v>
      </c>
      <c r="V138" s="142">
        <f t="shared" si="64"/>
        <v>0</v>
      </c>
      <c r="W138" s="142">
        <f t="shared" si="65"/>
        <v>0</v>
      </c>
      <c r="X138" s="144">
        <f t="shared" si="66"/>
        <v>0</v>
      </c>
      <c r="AA138" s="41" t="s">
        <v>208</v>
      </c>
      <c r="AC138" s="91" t="s">
        <v>201</v>
      </c>
    </row>
    <row r="139" spans="1:29" x14ac:dyDescent="0.2">
      <c r="A139" s="91">
        <v>15</v>
      </c>
      <c r="B139" s="91" t="s">
        <v>356</v>
      </c>
      <c r="C139" s="92">
        <v>36952</v>
      </c>
      <c r="D139" s="41" t="s">
        <v>357</v>
      </c>
      <c r="E139" s="41" t="s">
        <v>14</v>
      </c>
      <c r="F139" s="41" t="s">
        <v>358</v>
      </c>
      <c r="G139" s="91" t="s">
        <v>327</v>
      </c>
      <c r="H139" s="41" t="s">
        <v>330</v>
      </c>
      <c r="I139" s="93">
        <v>0.57499999999999996</v>
      </c>
      <c r="J139" s="140">
        <f t="shared" si="59"/>
        <v>114999.99999999999</v>
      </c>
      <c r="K139" s="95">
        <v>37742</v>
      </c>
      <c r="L139" s="96">
        <v>200000</v>
      </c>
      <c r="M139" s="97" t="s">
        <v>25</v>
      </c>
      <c r="N139" s="98">
        <v>4</v>
      </c>
      <c r="O139" s="141">
        <f t="shared" si="60"/>
        <v>800000</v>
      </c>
      <c r="P139" s="108">
        <v>1.4999999999999999E-2</v>
      </c>
      <c r="Q139" s="166">
        <f t="shared" si="61"/>
        <v>3000</v>
      </c>
      <c r="S139" s="143">
        <f t="shared" si="62"/>
        <v>0</v>
      </c>
      <c r="T139" s="143">
        <f t="shared" si="63"/>
        <v>0</v>
      </c>
      <c r="V139" s="142">
        <f t="shared" si="64"/>
        <v>0</v>
      </c>
      <c r="W139" s="142">
        <f t="shared" si="65"/>
        <v>0</v>
      </c>
      <c r="X139" s="144">
        <f t="shared" si="66"/>
        <v>0</v>
      </c>
      <c r="AA139" s="41" t="s">
        <v>208</v>
      </c>
      <c r="AC139" s="91" t="s">
        <v>201</v>
      </c>
    </row>
    <row r="140" spans="1:29" x14ac:dyDescent="0.2">
      <c r="A140" s="91">
        <v>15</v>
      </c>
      <c r="B140" s="91" t="s">
        <v>356</v>
      </c>
      <c r="C140" s="92">
        <v>36952</v>
      </c>
      <c r="D140" s="41" t="s">
        <v>357</v>
      </c>
      <c r="E140" s="41" t="s">
        <v>14</v>
      </c>
      <c r="F140" s="41" t="s">
        <v>358</v>
      </c>
      <c r="G140" s="91" t="s">
        <v>327</v>
      </c>
      <c r="H140" s="41" t="s">
        <v>330</v>
      </c>
      <c r="I140" s="93">
        <v>0.57499999999999996</v>
      </c>
      <c r="J140" s="140">
        <f t="shared" si="59"/>
        <v>114999.99999999999</v>
      </c>
      <c r="K140" s="95">
        <v>37773</v>
      </c>
      <c r="L140" s="96">
        <v>200000</v>
      </c>
      <c r="M140" s="97" t="s">
        <v>25</v>
      </c>
      <c r="N140" s="98">
        <v>4</v>
      </c>
      <c r="O140" s="141">
        <f t="shared" si="60"/>
        <v>800000</v>
      </c>
      <c r="P140" s="108">
        <v>1.4999999999999999E-2</v>
      </c>
      <c r="Q140" s="166">
        <f t="shared" si="61"/>
        <v>3000</v>
      </c>
      <c r="S140" s="143">
        <f t="shared" si="62"/>
        <v>0</v>
      </c>
      <c r="T140" s="143">
        <f t="shared" si="63"/>
        <v>0</v>
      </c>
      <c r="V140" s="142">
        <f t="shared" si="64"/>
        <v>0</v>
      </c>
      <c r="W140" s="142">
        <f t="shared" si="65"/>
        <v>0</v>
      </c>
      <c r="X140" s="144">
        <f t="shared" si="66"/>
        <v>0</v>
      </c>
      <c r="AA140" s="41" t="s">
        <v>208</v>
      </c>
      <c r="AC140" s="91" t="s">
        <v>201</v>
      </c>
    </row>
    <row r="141" spans="1:29" x14ac:dyDescent="0.2">
      <c r="A141" s="91">
        <v>15</v>
      </c>
      <c r="B141" s="91" t="s">
        <v>356</v>
      </c>
      <c r="C141" s="92">
        <v>36952</v>
      </c>
      <c r="D141" s="41" t="s">
        <v>357</v>
      </c>
      <c r="E141" s="41" t="s">
        <v>14</v>
      </c>
      <c r="F141" s="41" t="s">
        <v>358</v>
      </c>
      <c r="G141" s="91" t="s">
        <v>327</v>
      </c>
      <c r="H141" s="41" t="s">
        <v>330</v>
      </c>
      <c r="I141" s="93">
        <v>0.57499999999999996</v>
      </c>
      <c r="J141" s="140">
        <f t="shared" si="59"/>
        <v>114999.99999999999</v>
      </c>
      <c r="K141" s="95">
        <v>37803</v>
      </c>
      <c r="L141" s="96">
        <v>200000</v>
      </c>
      <c r="M141" s="97" t="s">
        <v>25</v>
      </c>
      <c r="N141" s="98">
        <v>4</v>
      </c>
      <c r="O141" s="141">
        <f t="shared" si="60"/>
        <v>800000</v>
      </c>
      <c r="P141" s="108">
        <v>1.4999999999999999E-2</v>
      </c>
      <c r="Q141" s="166">
        <f t="shared" si="61"/>
        <v>3000</v>
      </c>
      <c r="S141" s="143">
        <f t="shared" si="62"/>
        <v>0</v>
      </c>
      <c r="T141" s="143">
        <f t="shared" si="63"/>
        <v>0</v>
      </c>
      <c r="V141" s="142">
        <f t="shared" si="64"/>
        <v>0</v>
      </c>
      <c r="W141" s="142">
        <f t="shared" si="65"/>
        <v>0</v>
      </c>
      <c r="X141" s="144">
        <f t="shared" si="66"/>
        <v>0</v>
      </c>
      <c r="AA141" s="41" t="s">
        <v>208</v>
      </c>
      <c r="AC141" s="91" t="s">
        <v>201</v>
      </c>
    </row>
    <row r="142" spans="1:29" x14ac:dyDescent="0.2">
      <c r="A142" s="91">
        <v>15</v>
      </c>
      <c r="B142" s="91" t="s">
        <v>356</v>
      </c>
      <c r="C142" s="92">
        <v>36952</v>
      </c>
      <c r="D142" s="41" t="s">
        <v>357</v>
      </c>
      <c r="E142" s="41" t="s">
        <v>14</v>
      </c>
      <c r="F142" s="41" t="s">
        <v>358</v>
      </c>
      <c r="G142" s="91" t="s">
        <v>327</v>
      </c>
      <c r="H142" s="41" t="s">
        <v>330</v>
      </c>
      <c r="I142" s="93">
        <v>0.57499999999999996</v>
      </c>
      <c r="J142" s="140">
        <f t="shared" si="59"/>
        <v>114999.99999999999</v>
      </c>
      <c r="K142" s="95">
        <v>37834</v>
      </c>
      <c r="L142" s="96">
        <v>200000</v>
      </c>
      <c r="M142" s="97" t="s">
        <v>25</v>
      </c>
      <c r="N142" s="98">
        <v>4</v>
      </c>
      <c r="O142" s="141">
        <f t="shared" si="60"/>
        <v>800000</v>
      </c>
      <c r="P142" s="108">
        <v>1.4999999999999999E-2</v>
      </c>
      <c r="Q142" s="166">
        <f t="shared" si="61"/>
        <v>3000</v>
      </c>
      <c r="S142" s="143">
        <f t="shared" si="62"/>
        <v>0</v>
      </c>
      <c r="T142" s="143">
        <f t="shared" si="63"/>
        <v>0</v>
      </c>
      <c r="V142" s="142">
        <f t="shared" si="64"/>
        <v>0</v>
      </c>
      <c r="W142" s="142">
        <f t="shared" si="65"/>
        <v>0</v>
      </c>
      <c r="X142" s="144">
        <f t="shared" si="66"/>
        <v>0</v>
      </c>
      <c r="AA142" s="41" t="s">
        <v>208</v>
      </c>
      <c r="AC142" s="91" t="s">
        <v>201</v>
      </c>
    </row>
    <row r="143" spans="1:29" x14ac:dyDescent="0.2">
      <c r="A143" s="91">
        <v>15</v>
      </c>
      <c r="B143" s="91" t="s">
        <v>356</v>
      </c>
      <c r="C143" s="92">
        <v>36952</v>
      </c>
      <c r="D143" s="41" t="s">
        <v>357</v>
      </c>
      <c r="E143" s="41" t="s">
        <v>14</v>
      </c>
      <c r="F143" s="41" t="s">
        <v>358</v>
      </c>
      <c r="G143" s="91" t="s">
        <v>327</v>
      </c>
      <c r="H143" s="41" t="s">
        <v>330</v>
      </c>
      <c r="I143" s="93">
        <v>0.57499999999999996</v>
      </c>
      <c r="J143" s="140">
        <f t="shared" si="59"/>
        <v>114999.99999999999</v>
      </c>
      <c r="K143" s="95">
        <v>37865</v>
      </c>
      <c r="L143" s="96">
        <v>200000</v>
      </c>
      <c r="M143" s="97" t="s">
        <v>25</v>
      </c>
      <c r="N143" s="98">
        <v>4</v>
      </c>
      <c r="O143" s="141">
        <f t="shared" si="60"/>
        <v>800000</v>
      </c>
      <c r="P143" s="108">
        <v>1.4999999999999999E-2</v>
      </c>
      <c r="Q143" s="166">
        <f t="shared" si="61"/>
        <v>3000</v>
      </c>
      <c r="S143" s="143">
        <f t="shared" si="62"/>
        <v>0</v>
      </c>
      <c r="T143" s="143">
        <f t="shared" si="63"/>
        <v>0</v>
      </c>
      <c r="V143" s="142">
        <f t="shared" si="64"/>
        <v>0</v>
      </c>
      <c r="W143" s="142">
        <f t="shared" si="65"/>
        <v>0</v>
      </c>
      <c r="X143" s="144">
        <f t="shared" si="66"/>
        <v>0</v>
      </c>
      <c r="AA143" s="41" t="s">
        <v>208</v>
      </c>
      <c r="AC143" s="91" t="s">
        <v>201</v>
      </c>
    </row>
    <row r="144" spans="1:29" x14ac:dyDescent="0.2">
      <c r="A144" s="91">
        <v>15</v>
      </c>
      <c r="B144" s="91" t="s">
        <v>356</v>
      </c>
      <c r="C144" s="92">
        <v>36952</v>
      </c>
      <c r="D144" s="41" t="s">
        <v>357</v>
      </c>
      <c r="E144" s="41" t="s">
        <v>14</v>
      </c>
      <c r="F144" s="41" t="s">
        <v>358</v>
      </c>
      <c r="G144" s="91" t="s">
        <v>327</v>
      </c>
      <c r="H144" s="41" t="s">
        <v>330</v>
      </c>
      <c r="I144" s="93">
        <v>0.57499999999999996</v>
      </c>
      <c r="J144" s="140">
        <f t="shared" si="59"/>
        <v>114999.99999999999</v>
      </c>
      <c r="K144" s="95">
        <v>37895</v>
      </c>
      <c r="L144" s="96">
        <v>200000</v>
      </c>
      <c r="M144" s="97" t="s">
        <v>25</v>
      </c>
      <c r="N144" s="98">
        <v>4</v>
      </c>
      <c r="O144" s="141">
        <f t="shared" si="60"/>
        <v>800000</v>
      </c>
      <c r="P144" s="108">
        <v>1.4999999999999999E-2</v>
      </c>
      <c r="Q144" s="166">
        <f t="shared" si="61"/>
        <v>3000</v>
      </c>
      <c r="S144" s="143">
        <f t="shared" si="62"/>
        <v>0</v>
      </c>
      <c r="T144" s="143">
        <f t="shared" si="63"/>
        <v>0</v>
      </c>
      <c r="V144" s="142">
        <f t="shared" si="64"/>
        <v>0</v>
      </c>
      <c r="W144" s="142">
        <f t="shared" si="65"/>
        <v>0</v>
      </c>
      <c r="X144" s="144">
        <f t="shared" si="66"/>
        <v>0</v>
      </c>
      <c r="AA144" s="41" t="s">
        <v>208</v>
      </c>
      <c r="AC144" s="91" t="s">
        <v>201</v>
      </c>
    </row>
    <row r="145" spans="1:29" x14ac:dyDescent="0.2">
      <c r="A145" s="91">
        <v>15</v>
      </c>
      <c r="B145" s="91" t="s">
        <v>356</v>
      </c>
      <c r="C145" s="92">
        <v>36952</v>
      </c>
      <c r="D145" s="41" t="s">
        <v>357</v>
      </c>
      <c r="E145" s="41" t="s">
        <v>14</v>
      </c>
      <c r="F145" s="41" t="s">
        <v>358</v>
      </c>
      <c r="G145" s="91" t="s">
        <v>327</v>
      </c>
      <c r="H145" s="41" t="s">
        <v>330</v>
      </c>
      <c r="I145" s="93">
        <v>0.57499999999999996</v>
      </c>
      <c r="J145" s="140">
        <f t="shared" si="59"/>
        <v>114999.99999999999</v>
      </c>
      <c r="K145" s="95">
        <v>37926</v>
      </c>
      <c r="L145" s="96">
        <v>200000</v>
      </c>
      <c r="M145" s="97" t="s">
        <v>25</v>
      </c>
      <c r="N145" s="98">
        <v>4</v>
      </c>
      <c r="O145" s="141">
        <f t="shared" si="60"/>
        <v>800000</v>
      </c>
      <c r="P145" s="108">
        <v>1.4999999999999999E-2</v>
      </c>
      <c r="Q145" s="166">
        <f t="shared" si="61"/>
        <v>3000</v>
      </c>
      <c r="S145" s="143">
        <f t="shared" si="62"/>
        <v>0</v>
      </c>
      <c r="T145" s="143">
        <f t="shared" si="63"/>
        <v>0</v>
      </c>
      <c r="V145" s="142">
        <f t="shared" si="64"/>
        <v>0</v>
      </c>
      <c r="W145" s="142">
        <f t="shared" si="65"/>
        <v>0</v>
      </c>
      <c r="X145" s="144">
        <f t="shared" si="66"/>
        <v>0</v>
      </c>
      <c r="AA145" s="41" t="s">
        <v>208</v>
      </c>
      <c r="AC145" s="91" t="s">
        <v>201</v>
      </c>
    </row>
    <row r="146" spans="1:29" x14ac:dyDescent="0.2">
      <c r="A146" s="91">
        <v>15</v>
      </c>
      <c r="B146" s="91" t="s">
        <v>356</v>
      </c>
      <c r="C146" s="92">
        <v>36952</v>
      </c>
      <c r="D146" s="41" t="s">
        <v>357</v>
      </c>
      <c r="E146" s="41" t="s">
        <v>14</v>
      </c>
      <c r="F146" s="41" t="s">
        <v>358</v>
      </c>
      <c r="G146" s="91" t="s">
        <v>327</v>
      </c>
      <c r="H146" s="41" t="s">
        <v>330</v>
      </c>
      <c r="I146" s="93">
        <v>0.57499999999999996</v>
      </c>
      <c r="J146" s="140">
        <f t="shared" si="59"/>
        <v>114999.99999999999</v>
      </c>
      <c r="K146" s="95">
        <v>37956</v>
      </c>
      <c r="L146" s="96">
        <v>200000</v>
      </c>
      <c r="M146" s="97" t="s">
        <v>25</v>
      </c>
      <c r="N146" s="98">
        <v>4</v>
      </c>
      <c r="O146" s="141">
        <f t="shared" si="60"/>
        <v>800000</v>
      </c>
      <c r="P146" s="108">
        <v>1.4999999999999999E-2</v>
      </c>
      <c r="Q146" s="166">
        <f t="shared" si="61"/>
        <v>3000</v>
      </c>
      <c r="S146" s="143">
        <f t="shared" si="62"/>
        <v>0</v>
      </c>
      <c r="T146" s="143">
        <f t="shared" si="63"/>
        <v>0</v>
      </c>
      <c r="V146" s="142">
        <f t="shared" si="64"/>
        <v>0</v>
      </c>
      <c r="W146" s="142">
        <f t="shared" si="65"/>
        <v>0</v>
      </c>
      <c r="X146" s="144">
        <f t="shared" si="66"/>
        <v>0</v>
      </c>
      <c r="AA146" s="41" t="s">
        <v>208</v>
      </c>
      <c r="AC146" s="91" t="s">
        <v>201</v>
      </c>
    </row>
    <row r="148" spans="1:29" x14ac:dyDescent="0.2">
      <c r="A148" s="91">
        <v>16</v>
      </c>
      <c r="B148" s="91" t="s">
        <v>375</v>
      </c>
      <c r="C148" s="92">
        <v>36963</v>
      </c>
      <c r="D148" s="41" t="s">
        <v>374</v>
      </c>
      <c r="E148" s="41" t="s">
        <v>14</v>
      </c>
      <c r="F148" s="41" t="s">
        <v>347</v>
      </c>
      <c r="G148" s="91" t="s">
        <v>329</v>
      </c>
      <c r="H148" s="41" t="s">
        <v>334</v>
      </c>
      <c r="I148" s="93">
        <v>0</v>
      </c>
      <c r="J148" s="140">
        <f>+I148*L148</f>
        <v>0</v>
      </c>
      <c r="K148" s="95">
        <v>36982</v>
      </c>
      <c r="L148" s="96">
        <v>383000</v>
      </c>
      <c r="M148" s="97" t="s">
        <v>25</v>
      </c>
      <c r="N148" s="98">
        <v>4</v>
      </c>
      <c r="O148" s="141">
        <f>L148*N148</f>
        <v>1532000</v>
      </c>
      <c r="P148" s="108">
        <v>2.5000000000000001E-2</v>
      </c>
      <c r="Q148" s="166">
        <f>P148*L148</f>
        <v>9575</v>
      </c>
      <c r="S148" s="143">
        <f>VLOOKUP(K148,Prices,HLOOKUP(F148,Column,2))</f>
        <v>0</v>
      </c>
      <c r="T148" s="143">
        <f>IF(S148=0,VLOOKUP(K148,FWD_Prices,HLOOKUP(F148,Column,2)),0)</f>
        <v>0</v>
      </c>
      <c r="V148" s="142">
        <f>IF(H148="Swap",S148-N148,IF(H148="Call",MAX(S148-N148,0),IF(H148="Put",MAX(N148-S148,0),"Error on Structure")))
* IF(G148="Buy",1,IF(G148="Sell",-1,"Error on Buy/Sell"))
* L148
* IF(S148=0,0,1)</f>
        <v>0</v>
      </c>
      <c r="W148" s="142">
        <f>IF(H148="Swap",T148-N148,IF(H148="Call",MAX(T148-N148,0),IF(H148="Put",MAX(N148-T148,0),"Error on Structure")))
* IF(G148="Buy",1,IF(G148="Sell",-1,"Error on Buy/Sell"))
* L148
* IF(T148=0,0,1)</f>
        <v>0</v>
      </c>
      <c r="X148" s="144">
        <f>SUM(V148:W148)</f>
        <v>0</v>
      </c>
      <c r="AA148" s="41" t="s">
        <v>59</v>
      </c>
      <c r="AC148" s="91" t="s">
        <v>202</v>
      </c>
    </row>
    <row r="149" spans="1:29" x14ac:dyDescent="0.2">
      <c r="A149" s="91">
        <v>16</v>
      </c>
      <c r="B149" s="91" t="s">
        <v>375</v>
      </c>
      <c r="C149" s="92">
        <v>36963</v>
      </c>
      <c r="D149" s="41" t="s">
        <v>374</v>
      </c>
      <c r="E149" s="41" t="s">
        <v>14</v>
      </c>
      <c r="F149" s="41" t="s">
        <v>347</v>
      </c>
      <c r="G149" s="91" t="s">
        <v>329</v>
      </c>
      <c r="H149" s="41" t="s">
        <v>334</v>
      </c>
      <c r="I149" s="93">
        <v>0</v>
      </c>
      <c r="J149" s="140">
        <f t="shared" ref="J149:J180" si="67">+I149*L149</f>
        <v>0</v>
      </c>
      <c r="K149" s="95">
        <v>37012</v>
      </c>
      <c r="L149" s="96">
        <v>383000</v>
      </c>
      <c r="M149" s="97" t="s">
        <v>25</v>
      </c>
      <c r="N149" s="98">
        <v>4</v>
      </c>
      <c r="O149" s="141">
        <f t="shared" ref="O149:O180" si="68">L149*N149</f>
        <v>1532000</v>
      </c>
      <c r="P149" s="108">
        <v>2.5000000000000001E-2</v>
      </c>
      <c r="Q149" s="166">
        <f t="shared" ref="Q149:Q180" si="69">P149*L149</f>
        <v>9575</v>
      </c>
      <c r="S149" s="143">
        <f t="shared" ref="S149:S180" si="70">VLOOKUP(K149,Prices,HLOOKUP(F149,Column,2))</f>
        <v>0</v>
      </c>
      <c r="T149" s="143">
        <f t="shared" ref="T149:T180" si="71">IF(S149=0,VLOOKUP(K149,FWD_Prices,HLOOKUP(F149,Column,2)),0)</f>
        <v>0</v>
      </c>
      <c r="V149" s="142">
        <f t="shared" ref="V149:V180" si="72">IF(H149="Swap",S149-N149,IF(H149="Call",MAX(S149-N149,0),IF(H149="Put",MAX(N149-S149,0),"Error on Structure")))
* IF(G149="Buy",1,IF(G149="Sell",-1,"Error on Buy/Sell"))
* L149
* IF(S149=0,0,1)</f>
        <v>0</v>
      </c>
      <c r="W149" s="142">
        <f t="shared" ref="W149:W180" si="73">IF(H149="Swap",T149-N149,IF(H149="Call",MAX(T149-N149,0),IF(H149="Put",MAX(N149-T149,0),"Error on Structure")))
* IF(G149="Buy",1,IF(G149="Sell",-1,"Error on Buy/Sell"))
* L149
* IF(T149=0,0,1)</f>
        <v>0</v>
      </c>
      <c r="X149" s="144">
        <f t="shared" ref="X149:X180" si="74">SUM(V149:W149)</f>
        <v>0</v>
      </c>
      <c r="AA149" s="41" t="s">
        <v>59</v>
      </c>
      <c r="AC149" s="91" t="s">
        <v>202</v>
      </c>
    </row>
    <row r="150" spans="1:29" x14ac:dyDescent="0.2">
      <c r="A150" s="91">
        <v>16</v>
      </c>
      <c r="B150" s="91" t="s">
        <v>375</v>
      </c>
      <c r="C150" s="92">
        <v>36963</v>
      </c>
      <c r="D150" s="41" t="s">
        <v>374</v>
      </c>
      <c r="E150" s="41" t="s">
        <v>14</v>
      </c>
      <c r="F150" s="41" t="s">
        <v>347</v>
      </c>
      <c r="G150" s="91" t="s">
        <v>329</v>
      </c>
      <c r="H150" s="41" t="s">
        <v>334</v>
      </c>
      <c r="I150" s="93">
        <v>0</v>
      </c>
      <c r="J150" s="140">
        <f t="shared" si="67"/>
        <v>0</v>
      </c>
      <c r="K150" s="95">
        <v>37043</v>
      </c>
      <c r="L150" s="96">
        <v>383000</v>
      </c>
      <c r="M150" s="97" t="s">
        <v>25</v>
      </c>
      <c r="N150" s="98">
        <v>4</v>
      </c>
      <c r="O150" s="141">
        <f t="shared" si="68"/>
        <v>1532000</v>
      </c>
      <c r="P150" s="108">
        <v>2.5000000000000001E-2</v>
      </c>
      <c r="Q150" s="166">
        <f t="shared" si="69"/>
        <v>9575</v>
      </c>
      <c r="S150" s="143">
        <f t="shared" si="70"/>
        <v>0</v>
      </c>
      <c r="T150" s="143">
        <f t="shared" si="71"/>
        <v>0</v>
      </c>
      <c r="V150" s="142">
        <f t="shared" si="72"/>
        <v>0</v>
      </c>
      <c r="W150" s="142">
        <f t="shared" si="73"/>
        <v>0</v>
      </c>
      <c r="X150" s="144">
        <f t="shared" si="74"/>
        <v>0</v>
      </c>
      <c r="AA150" s="41" t="s">
        <v>59</v>
      </c>
      <c r="AC150" s="91" t="s">
        <v>202</v>
      </c>
    </row>
    <row r="151" spans="1:29" x14ac:dyDescent="0.2">
      <c r="A151" s="91">
        <v>16</v>
      </c>
      <c r="B151" s="91" t="s">
        <v>375</v>
      </c>
      <c r="C151" s="92">
        <v>36963</v>
      </c>
      <c r="D151" s="41" t="s">
        <v>374</v>
      </c>
      <c r="E151" s="41" t="s">
        <v>14</v>
      </c>
      <c r="F151" s="41" t="s">
        <v>347</v>
      </c>
      <c r="G151" s="91" t="s">
        <v>329</v>
      </c>
      <c r="H151" s="41" t="s">
        <v>334</v>
      </c>
      <c r="I151" s="93">
        <v>0</v>
      </c>
      <c r="J151" s="140">
        <f t="shared" si="67"/>
        <v>0</v>
      </c>
      <c r="K151" s="95">
        <v>37073</v>
      </c>
      <c r="L151" s="96">
        <v>383000</v>
      </c>
      <c r="M151" s="97" t="s">
        <v>25</v>
      </c>
      <c r="N151" s="98">
        <v>4</v>
      </c>
      <c r="O151" s="141">
        <f t="shared" si="68"/>
        <v>1532000</v>
      </c>
      <c r="P151" s="108">
        <v>2.5000000000000001E-2</v>
      </c>
      <c r="Q151" s="166">
        <f t="shared" si="69"/>
        <v>9575</v>
      </c>
      <c r="S151" s="143">
        <f t="shared" si="70"/>
        <v>0</v>
      </c>
      <c r="T151" s="143">
        <f t="shared" si="71"/>
        <v>0</v>
      </c>
      <c r="V151" s="142">
        <f t="shared" si="72"/>
        <v>0</v>
      </c>
      <c r="W151" s="142">
        <f t="shared" si="73"/>
        <v>0</v>
      </c>
      <c r="X151" s="144">
        <f t="shared" si="74"/>
        <v>0</v>
      </c>
      <c r="AA151" s="41" t="s">
        <v>59</v>
      </c>
      <c r="AC151" s="91" t="s">
        <v>202</v>
      </c>
    </row>
    <row r="152" spans="1:29" x14ac:dyDescent="0.2">
      <c r="A152" s="91">
        <v>16</v>
      </c>
      <c r="B152" s="91" t="s">
        <v>375</v>
      </c>
      <c r="C152" s="92">
        <v>36963</v>
      </c>
      <c r="D152" s="41" t="s">
        <v>374</v>
      </c>
      <c r="E152" s="41" t="s">
        <v>14</v>
      </c>
      <c r="F152" s="41" t="s">
        <v>347</v>
      </c>
      <c r="G152" s="91" t="s">
        <v>329</v>
      </c>
      <c r="H152" s="41" t="s">
        <v>334</v>
      </c>
      <c r="I152" s="93">
        <v>0</v>
      </c>
      <c r="J152" s="140">
        <f t="shared" si="67"/>
        <v>0</v>
      </c>
      <c r="K152" s="95">
        <v>37104</v>
      </c>
      <c r="L152" s="96">
        <v>383000</v>
      </c>
      <c r="M152" s="97" t="s">
        <v>25</v>
      </c>
      <c r="N152" s="98">
        <v>4</v>
      </c>
      <c r="O152" s="141">
        <f t="shared" si="68"/>
        <v>1532000</v>
      </c>
      <c r="P152" s="108">
        <v>2.5000000000000001E-2</v>
      </c>
      <c r="Q152" s="166">
        <f t="shared" si="69"/>
        <v>9575</v>
      </c>
      <c r="S152" s="143">
        <f t="shared" si="70"/>
        <v>0</v>
      </c>
      <c r="T152" s="143">
        <f t="shared" si="71"/>
        <v>0</v>
      </c>
      <c r="V152" s="142">
        <f t="shared" si="72"/>
        <v>0</v>
      </c>
      <c r="W152" s="142">
        <f t="shared" si="73"/>
        <v>0</v>
      </c>
      <c r="X152" s="144">
        <f t="shared" si="74"/>
        <v>0</v>
      </c>
      <c r="AA152" s="41" t="s">
        <v>59</v>
      </c>
      <c r="AC152" s="91" t="s">
        <v>202</v>
      </c>
    </row>
    <row r="153" spans="1:29" x14ac:dyDescent="0.2">
      <c r="A153" s="91">
        <v>16</v>
      </c>
      <c r="B153" s="91" t="s">
        <v>375</v>
      </c>
      <c r="C153" s="92">
        <v>36963</v>
      </c>
      <c r="D153" s="41" t="s">
        <v>374</v>
      </c>
      <c r="E153" s="41" t="s">
        <v>14</v>
      </c>
      <c r="F153" s="41" t="s">
        <v>347</v>
      </c>
      <c r="G153" s="91" t="s">
        <v>329</v>
      </c>
      <c r="H153" s="41" t="s">
        <v>334</v>
      </c>
      <c r="I153" s="93">
        <v>0</v>
      </c>
      <c r="J153" s="140">
        <f t="shared" si="67"/>
        <v>0</v>
      </c>
      <c r="K153" s="95">
        <v>37135</v>
      </c>
      <c r="L153" s="96">
        <v>383000</v>
      </c>
      <c r="M153" s="97" t="s">
        <v>25</v>
      </c>
      <c r="N153" s="98">
        <v>4</v>
      </c>
      <c r="O153" s="141">
        <f t="shared" si="68"/>
        <v>1532000</v>
      </c>
      <c r="P153" s="108">
        <v>2.5000000000000001E-2</v>
      </c>
      <c r="Q153" s="166">
        <f t="shared" si="69"/>
        <v>9575</v>
      </c>
      <c r="S153" s="143">
        <f t="shared" si="70"/>
        <v>0</v>
      </c>
      <c r="T153" s="143">
        <f t="shared" si="71"/>
        <v>0</v>
      </c>
      <c r="V153" s="142">
        <f t="shared" si="72"/>
        <v>0</v>
      </c>
      <c r="W153" s="142">
        <f t="shared" si="73"/>
        <v>0</v>
      </c>
      <c r="X153" s="144">
        <f t="shared" si="74"/>
        <v>0</v>
      </c>
      <c r="AA153" s="41" t="s">
        <v>59</v>
      </c>
      <c r="AC153" s="91" t="s">
        <v>202</v>
      </c>
    </row>
    <row r="154" spans="1:29" x14ac:dyDescent="0.2">
      <c r="A154" s="91">
        <v>16</v>
      </c>
      <c r="B154" s="91" t="s">
        <v>375</v>
      </c>
      <c r="C154" s="92">
        <v>36963</v>
      </c>
      <c r="D154" s="41" t="s">
        <v>374</v>
      </c>
      <c r="E154" s="41" t="s">
        <v>14</v>
      </c>
      <c r="F154" s="41" t="s">
        <v>347</v>
      </c>
      <c r="G154" s="91" t="s">
        <v>329</v>
      </c>
      <c r="H154" s="41" t="s">
        <v>334</v>
      </c>
      <c r="I154" s="93">
        <v>0</v>
      </c>
      <c r="J154" s="140">
        <f t="shared" si="67"/>
        <v>0</v>
      </c>
      <c r="K154" s="95">
        <v>37165</v>
      </c>
      <c r="L154" s="96">
        <v>383000</v>
      </c>
      <c r="M154" s="97" t="s">
        <v>25</v>
      </c>
      <c r="N154" s="98">
        <v>4</v>
      </c>
      <c r="O154" s="141">
        <f t="shared" si="68"/>
        <v>1532000</v>
      </c>
      <c r="P154" s="108">
        <v>2.5000000000000001E-2</v>
      </c>
      <c r="Q154" s="166">
        <f t="shared" si="69"/>
        <v>9575</v>
      </c>
      <c r="S154" s="143">
        <f t="shared" si="70"/>
        <v>0</v>
      </c>
      <c r="T154" s="143">
        <f t="shared" si="71"/>
        <v>0</v>
      </c>
      <c r="V154" s="142">
        <f t="shared" si="72"/>
        <v>0</v>
      </c>
      <c r="W154" s="142">
        <f t="shared" si="73"/>
        <v>0</v>
      </c>
      <c r="X154" s="144">
        <f t="shared" si="74"/>
        <v>0</v>
      </c>
      <c r="AA154" s="41" t="s">
        <v>59</v>
      </c>
      <c r="AC154" s="91" t="s">
        <v>202</v>
      </c>
    </row>
    <row r="155" spans="1:29" x14ac:dyDescent="0.2">
      <c r="A155" s="91">
        <v>16</v>
      </c>
      <c r="B155" s="91" t="s">
        <v>375</v>
      </c>
      <c r="C155" s="92">
        <v>36963</v>
      </c>
      <c r="D155" s="41" t="s">
        <v>374</v>
      </c>
      <c r="E155" s="41" t="s">
        <v>14</v>
      </c>
      <c r="F155" s="41" t="s">
        <v>347</v>
      </c>
      <c r="G155" s="91" t="s">
        <v>329</v>
      </c>
      <c r="H155" s="41" t="s">
        <v>334</v>
      </c>
      <c r="I155" s="93">
        <v>0</v>
      </c>
      <c r="J155" s="140">
        <f t="shared" si="67"/>
        <v>0</v>
      </c>
      <c r="K155" s="95">
        <v>37196</v>
      </c>
      <c r="L155" s="96">
        <v>383000</v>
      </c>
      <c r="M155" s="97" t="s">
        <v>25</v>
      </c>
      <c r="N155" s="98">
        <v>4</v>
      </c>
      <c r="O155" s="141">
        <f t="shared" si="68"/>
        <v>1532000</v>
      </c>
      <c r="P155" s="108">
        <v>2.5000000000000001E-2</v>
      </c>
      <c r="Q155" s="166">
        <f t="shared" si="69"/>
        <v>9575</v>
      </c>
      <c r="S155" s="143">
        <f t="shared" si="70"/>
        <v>0</v>
      </c>
      <c r="T155" s="143">
        <f t="shared" si="71"/>
        <v>0</v>
      </c>
      <c r="V155" s="142">
        <f t="shared" si="72"/>
        <v>0</v>
      </c>
      <c r="W155" s="142">
        <f t="shared" si="73"/>
        <v>0</v>
      </c>
      <c r="X155" s="144">
        <f t="shared" si="74"/>
        <v>0</v>
      </c>
      <c r="AA155" s="41" t="s">
        <v>59</v>
      </c>
      <c r="AC155" s="91" t="s">
        <v>202</v>
      </c>
    </row>
    <row r="156" spans="1:29" x14ac:dyDescent="0.2">
      <c r="A156" s="91">
        <v>16</v>
      </c>
      <c r="B156" s="91" t="s">
        <v>375</v>
      </c>
      <c r="C156" s="92">
        <v>36963</v>
      </c>
      <c r="D156" s="41" t="s">
        <v>374</v>
      </c>
      <c r="E156" s="41" t="s">
        <v>14</v>
      </c>
      <c r="F156" s="41" t="s">
        <v>347</v>
      </c>
      <c r="G156" s="91" t="s">
        <v>329</v>
      </c>
      <c r="H156" s="41" t="s">
        <v>334</v>
      </c>
      <c r="I156" s="93">
        <v>0</v>
      </c>
      <c r="J156" s="140">
        <f t="shared" si="67"/>
        <v>0</v>
      </c>
      <c r="K156" s="95">
        <v>37226</v>
      </c>
      <c r="L156" s="96">
        <v>383000</v>
      </c>
      <c r="M156" s="97" t="s">
        <v>25</v>
      </c>
      <c r="N156" s="98">
        <v>4</v>
      </c>
      <c r="O156" s="141">
        <f t="shared" si="68"/>
        <v>1532000</v>
      </c>
      <c r="P156" s="108">
        <v>2.5000000000000001E-2</v>
      </c>
      <c r="Q156" s="166">
        <f t="shared" si="69"/>
        <v>9575</v>
      </c>
      <c r="S156" s="143">
        <f t="shared" si="70"/>
        <v>0</v>
      </c>
      <c r="T156" s="143">
        <f t="shared" si="71"/>
        <v>0</v>
      </c>
      <c r="V156" s="142">
        <f t="shared" si="72"/>
        <v>0</v>
      </c>
      <c r="W156" s="142">
        <f t="shared" si="73"/>
        <v>0</v>
      </c>
      <c r="X156" s="144">
        <f t="shared" si="74"/>
        <v>0</v>
      </c>
      <c r="AA156" s="41" t="s">
        <v>59</v>
      </c>
      <c r="AC156" s="91" t="s">
        <v>202</v>
      </c>
    </row>
    <row r="157" spans="1:29" x14ac:dyDescent="0.2">
      <c r="A157" s="91">
        <v>16</v>
      </c>
      <c r="B157" s="91" t="s">
        <v>375</v>
      </c>
      <c r="C157" s="92">
        <v>36963</v>
      </c>
      <c r="D157" s="41" t="s">
        <v>374</v>
      </c>
      <c r="E157" s="41" t="s">
        <v>14</v>
      </c>
      <c r="F157" s="41" t="s">
        <v>347</v>
      </c>
      <c r="G157" s="91" t="s">
        <v>329</v>
      </c>
      <c r="H157" s="41" t="s">
        <v>334</v>
      </c>
      <c r="I157" s="93">
        <v>0</v>
      </c>
      <c r="J157" s="140">
        <f t="shared" si="67"/>
        <v>0</v>
      </c>
      <c r="K157" s="95">
        <v>37257</v>
      </c>
      <c r="L157" s="96">
        <v>383000</v>
      </c>
      <c r="M157" s="97" t="s">
        <v>25</v>
      </c>
      <c r="N157" s="98">
        <v>4</v>
      </c>
      <c r="O157" s="141">
        <f t="shared" si="68"/>
        <v>1532000</v>
      </c>
      <c r="P157" s="108">
        <v>2.5000000000000001E-2</v>
      </c>
      <c r="Q157" s="166">
        <f t="shared" si="69"/>
        <v>9575</v>
      </c>
      <c r="S157" s="143">
        <f t="shared" si="70"/>
        <v>0</v>
      </c>
      <c r="T157" s="143">
        <f t="shared" si="71"/>
        <v>0</v>
      </c>
      <c r="V157" s="142">
        <f t="shared" si="72"/>
        <v>0</v>
      </c>
      <c r="W157" s="142">
        <f t="shared" si="73"/>
        <v>0</v>
      </c>
      <c r="X157" s="144">
        <f t="shared" si="74"/>
        <v>0</v>
      </c>
      <c r="AA157" s="41" t="s">
        <v>59</v>
      </c>
      <c r="AC157" s="91" t="s">
        <v>202</v>
      </c>
    </row>
    <row r="158" spans="1:29" x14ac:dyDescent="0.2">
      <c r="A158" s="91">
        <v>16</v>
      </c>
      <c r="B158" s="91" t="s">
        <v>375</v>
      </c>
      <c r="C158" s="92">
        <v>36963</v>
      </c>
      <c r="D158" s="41" t="s">
        <v>374</v>
      </c>
      <c r="E158" s="41" t="s">
        <v>14</v>
      </c>
      <c r="F158" s="41" t="s">
        <v>347</v>
      </c>
      <c r="G158" s="91" t="s">
        <v>329</v>
      </c>
      <c r="H158" s="41" t="s">
        <v>334</v>
      </c>
      <c r="I158" s="93">
        <v>0</v>
      </c>
      <c r="J158" s="140">
        <f t="shared" si="67"/>
        <v>0</v>
      </c>
      <c r="K158" s="95">
        <v>37288</v>
      </c>
      <c r="L158" s="96">
        <v>383000</v>
      </c>
      <c r="M158" s="97" t="s">
        <v>25</v>
      </c>
      <c r="N158" s="98">
        <v>4</v>
      </c>
      <c r="O158" s="141">
        <f t="shared" si="68"/>
        <v>1532000</v>
      </c>
      <c r="P158" s="108">
        <v>2.5000000000000001E-2</v>
      </c>
      <c r="Q158" s="166">
        <f t="shared" si="69"/>
        <v>9575</v>
      </c>
      <c r="S158" s="143">
        <f t="shared" si="70"/>
        <v>0</v>
      </c>
      <c r="T158" s="143">
        <f t="shared" si="71"/>
        <v>0</v>
      </c>
      <c r="V158" s="142">
        <f t="shared" si="72"/>
        <v>0</v>
      </c>
      <c r="W158" s="142">
        <f t="shared" si="73"/>
        <v>0</v>
      </c>
      <c r="X158" s="144">
        <f t="shared" si="74"/>
        <v>0</v>
      </c>
      <c r="AA158" s="41" t="s">
        <v>59</v>
      </c>
      <c r="AC158" s="91" t="s">
        <v>202</v>
      </c>
    </row>
    <row r="159" spans="1:29" x14ac:dyDescent="0.2">
      <c r="A159" s="91">
        <v>16</v>
      </c>
      <c r="B159" s="91" t="s">
        <v>375</v>
      </c>
      <c r="C159" s="92">
        <v>36963</v>
      </c>
      <c r="D159" s="41" t="s">
        <v>374</v>
      </c>
      <c r="E159" s="41" t="s">
        <v>14</v>
      </c>
      <c r="F159" s="41" t="s">
        <v>347</v>
      </c>
      <c r="G159" s="91" t="s">
        <v>329</v>
      </c>
      <c r="H159" s="41" t="s">
        <v>334</v>
      </c>
      <c r="I159" s="93">
        <v>0</v>
      </c>
      <c r="J159" s="140">
        <f t="shared" si="67"/>
        <v>0</v>
      </c>
      <c r="K159" s="95">
        <v>37316</v>
      </c>
      <c r="L159" s="96">
        <v>383000</v>
      </c>
      <c r="M159" s="97" t="s">
        <v>25</v>
      </c>
      <c r="N159" s="98">
        <v>4</v>
      </c>
      <c r="O159" s="141">
        <f t="shared" si="68"/>
        <v>1532000</v>
      </c>
      <c r="P159" s="108">
        <v>2.5000000000000001E-2</v>
      </c>
      <c r="Q159" s="166">
        <f t="shared" si="69"/>
        <v>9575</v>
      </c>
      <c r="S159" s="143">
        <f t="shared" si="70"/>
        <v>0</v>
      </c>
      <c r="T159" s="143">
        <f t="shared" si="71"/>
        <v>0</v>
      </c>
      <c r="V159" s="142">
        <f t="shared" si="72"/>
        <v>0</v>
      </c>
      <c r="W159" s="142">
        <f t="shared" si="73"/>
        <v>0</v>
      </c>
      <c r="X159" s="144">
        <f t="shared" si="74"/>
        <v>0</v>
      </c>
      <c r="AA159" s="41" t="s">
        <v>59</v>
      </c>
      <c r="AC159" s="91" t="s">
        <v>202</v>
      </c>
    </row>
    <row r="160" spans="1:29" x14ac:dyDescent="0.2">
      <c r="A160" s="91">
        <v>16</v>
      </c>
      <c r="B160" s="91" t="s">
        <v>375</v>
      </c>
      <c r="C160" s="92">
        <v>36963</v>
      </c>
      <c r="D160" s="41" t="s">
        <v>374</v>
      </c>
      <c r="E160" s="41" t="s">
        <v>14</v>
      </c>
      <c r="F160" s="41" t="s">
        <v>347</v>
      </c>
      <c r="G160" s="91" t="s">
        <v>329</v>
      </c>
      <c r="H160" s="41" t="s">
        <v>334</v>
      </c>
      <c r="I160" s="93">
        <v>0</v>
      </c>
      <c r="J160" s="140">
        <f t="shared" si="67"/>
        <v>0</v>
      </c>
      <c r="K160" s="95">
        <v>37347</v>
      </c>
      <c r="L160" s="96">
        <v>383000</v>
      </c>
      <c r="M160" s="97" t="s">
        <v>25</v>
      </c>
      <c r="N160" s="98">
        <v>4</v>
      </c>
      <c r="O160" s="141">
        <f t="shared" si="68"/>
        <v>1532000</v>
      </c>
      <c r="P160" s="108">
        <v>2.5000000000000001E-2</v>
      </c>
      <c r="Q160" s="166">
        <f t="shared" si="69"/>
        <v>9575</v>
      </c>
      <c r="S160" s="143">
        <f t="shared" si="70"/>
        <v>0</v>
      </c>
      <c r="T160" s="143">
        <f t="shared" si="71"/>
        <v>0</v>
      </c>
      <c r="V160" s="142">
        <f t="shared" si="72"/>
        <v>0</v>
      </c>
      <c r="W160" s="142">
        <f t="shared" si="73"/>
        <v>0</v>
      </c>
      <c r="X160" s="144">
        <f t="shared" si="74"/>
        <v>0</v>
      </c>
      <c r="AA160" s="41" t="s">
        <v>59</v>
      </c>
      <c r="AC160" s="91" t="s">
        <v>202</v>
      </c>
    </row>
    <row r="161" spans="1:29" x14ac:dyDescent="0.2">
      <c r="A161" s="91">
        <v>16</v>
      </c>
      <c r="B161" s="91" t="s">
        <v>375</v>
      </c>
      <c r="C161" s="92">
        <v>36963</v>
      </c>
      <c r="D161" s="41" t="s">
        <v>374</v>
      </c>
      <c r="E161" s="41" t="s">
        <v>14</v>
      </c>
      <c r="F161" s="41" t="s">
        <v>347</v>
      </c>
      <c r="G161" s="91" t="s">
        <v>329</v>
      </c>
      <c r="H161" s="41" t="s">
        <v>334</v>
      </c>
      <c r="I161" s="93">
        <v>0</v>
      </c>
      <c r="J161" s="140">
        <f t="shared" si="67"/>
        <v>0</v>
      </c>
      <c r="K161" s="95">
        <v>37377</v>
      </c>
      <c r="L161" s="96">
        <v>383000</v>
      </c>
      <c r="M161" s="97" t="s">
        <v>25</v>
      </c>
      <c r="N161" s="98">
        <v>4</v>
      </c>
      <c r="O161" s="141">
        <f t="shared" si="68"/>
        <v>1532000</v>
      </c>
      <c r="P161" s="108">
        <v>2.5000000000000001E-2</v>
      </c>
      <c r="Q161" s="166">
        <f t="shared" si="69"/>
        <v>9575</v>
      </c>
      <c r="S161" s="143">
        <f t="shared" si="70"/>
        <v>0</v>
      </c>
      <c r="T161" s="143">
        <f t="shared" si="71"/>
        <v>0</v>
      </c>
      <c r="V161" s="142">
        <f t="shared" si="72"/>
        <v>0</v>
      </c>
      <c r="W161" s="142">
        <f t="shared" si="73"/>
        <v>0</v>
      </c>
      <c r="X161" s="144">
        <f t="shared" si="74"/>
        <v>0</v>
      </c>
      <c r="AA161" s="41" t="s">
        <v>59</v>
      </c>
      <c r="AC161" s="91" t="s">
        <v>202</v>
      </c>
    </row>
    <row r="162" spans="1:29" x14ac:dyDescent="0.2">
      <c r="A162" s="91">
        <v>16</v>
      </c>
      <c r="B162" s="91" t="s">
        <v>375</v>
      </c>
      <c r="C162" s="92">
        <v>36963</v>
      </c>
      <c r="D162" s="41" t="s">
        <v>374</v>
      </c>
      <c r="E162" s="41" t="s">
        <v>14</v>
      </c>
      <c r="F162" s="41" t="s">
        <v>347</v>
      </c>
      <c r="G162" s="91" t="s">
        <v>329</v>
      </c>
      <c r="H162" s="41" t="s">
        <v>334</v>
      </c>
      <c r="I162" s="93">
        <v>0</v>
      </c>
      <c r="J162" s="140">
        <f t="shared" si="67"/>
        <v>0</v>
      </c>
      <c r="K162" s="95">
        <v>37408</v>
      </c>
      <c r="L162" s="96">
        <v>383000</v>
      </c>
      <c r="M162" s="97" t="s">
        <v>25</v>
      </c>
      <c r="N162" s="98">
        <v>4</v>
      </c>
      <c r="O162" s="141">
        <f t="shared" si="68"/>
        <v>1532000</v>
      </c>
      <c r="P162" s="108">
        <v>2.5000000000000001E-2</v>
      </c>
      <c r="Q162" s="166">
        <f t="shared" si="69"/>
        <v>9575</v>
      </c>
      <c r="S162" s="143">
        <f t="shared" si="70"/>
        <v>0</v>
      </c>
      <c r="T162" s="143">
        <f t="shared" si="71"/>
        <v>0</v>
      </c>
      <c r="V162" s="142">
        <f t="shared" si="72"/>
        <v>0</v>
      </c>
      <c r="W162" s="142">
        <f t="shared" si="73"/>
        <v>0</v>
      </c>
      <c r="X162" s="144">
        <f t="shared" si="74"/>
        <v>0</v>
      </c>
      <c r="AA162" s="41" t="s">
        <v>59</v>
      </c>
      <c r="AC162" s="91" t="s">
        <v>202</v>
      </c>
    </row>
    <row r="163" spans="1:29" x14ac:dyDescent="0.2">
      <c r="A163" s="91">
        <v>16</v>
      </c>
      <c r="B163" s="91" t="s">
        <v>375</v>
      </c>
      <c r="C163" s="92">
        <v>36963</v>
      </c>
      <c r="D163" s="41" t="s">
        <v>374</v>
      </c>
      <c r="E163" s="41" t="s">
        <v>14</v>
      </c>
      <c r="F163" s="41" t="s">
        <v>347</v>
      </c>
      <c r="G163" s="91" t="s">
        <v>329</v>
      </c>
      <c r="H163" s="41" t="s">
        <v>334</v>
      </c>
      <c r="I163" s="93">
        <v>0</v>
      </c>
      <c r="J163" s="140">
        <f t="shared" si="67"/>
        <v>0</v>
      </c>
      <c r="K163" s="95">
        <v>37438</v>
      </c>
      <c r="L163" s="96">
        <v>383000</v>
      </c>
      <c r="M163" s="97" t="s">
        <v>25</v>
      </c>
      <c r="N163" s="98">
        <v>4</v>
      </c>
      <c r="O163" s="141">
        <f t="shared" si="68"/>
        <v>1532000</v>
      </c>
      <c r="P163" s="108">
        <v>2.5000000000000001E-2</v>
      </c>
      <c r="Q163" s="166">
        <f t="shared" si="69"/>
        <v>9575</v>
      </c>
      <c r="S163" s="143">
        <f t="shared" si="70"/>
        <v>0</v>
      </c>
      <c r="T163" s="143">
        <f t="shared" si="71"/>
        <v>0</v>
      </c>
      <c r="V163" s="142">
        <f t="shared" si="72"/>
        <v>0</v>
      </c>
      <c r="W163" s="142">
        <f t="shared" si="73"/>
        <v>0</v>
      </c>
      <c r="X163" s="144">
        <f t="shared" si="74"/>
        <v>0</v>
      </c>
      <c r="AA163" s="41" t="s">
        <v>59</v>
      </c>
      <c r="AC163" s="91" t="s">
        <v>202</v>
      </c>
    </row>
    <row r="164" spans="1:29" x14ac:dyDescent="0.2">
      <c r="A164" s="91">
        <v>16</v>
      </c>
      <c r="B164" s="91" t="s">
        <v>375</v>
      </c>
      <c r="C164" s="92">
        <v>36963</v>
      </c>
      <c r="D164" s="41" t="s">
        <v>374</v>
      </c>
      <c r="E164" s="41" t="s">
        <v>14</v>
      </c>
      <c r="F164" s="41" t="s">
        <v>347</v>
      </c>
      <c r="G164" s="91" t="s">
        <v>329</v>
      </c>
      <c r="H164" s="41" t="s">
        <v>334</v>
      </c>
      <c r="I164" s="93">
        <v>0</v>
      </c>
      <c r="J164" s="140">
        <f t="shared" si="67"/>
        <v>0</v>
      </c>
      <c r="K164" s="95">
        <v>37469</v>
      </c>
      <c r="L164" s="96">
        <v>383000</v>
      </c>
      <c r="M164" s="97" t="s">
        <v>25</v>
      </c>
      <c r="N164" s="98">
        <v>4</v>
      </c>
      <c r="O164" s="141">
        <f t="shared" si="68"/>
        <v>1532000</v>
      </c>
      <c r="P164" s="108">
        <v>2.5000000000000001E-2</v>
      </c>
      <c r="Q164" s="166">
        <f t="shared" si="69"/>
        <v>9575</v>
      </c>
      <c r="S164" s="143">
        <f t="shared" si="70"/>
        <v>0</v>
      </c>
      <c r="T164" s="143">
        <f t="shared" si="71"/>
        <v>0</v>
      </c>
      <c r="V164" s="142">
        <f t="shared" si="72"/>
        <v>0</v>
      </c>
      <c r="W164" s="142">
        <f t="shared" si="73"/>
        <v>0</v>
      </c>
      <c r="X164" s="144">
        <f t="shared" si="74"/>
        <v>0</v>
      </c>
      <c r="AA164" s="41" t="s">
        <v>59</v>
      </c>
      <c r="AC164" s="91" t="s">
        <v>202</v>
      </c>
    </row>
    <row r="165" spans="1:29" x14ac:dyDescent="0.2">
      <c r="A165" s="91">
        <v>16</v>
      </c>
      <c r="B165" s="91" t="s">
        <v>375</v>
      </c>
      <c r="C165" s="92">
        <v>36963</v>
      </c>
      <c r="D165" s="41" t="s">
        <v>374</v>
      </c>
      <c r="E165" s="41" t="s">
        <v>14</v>
      </c>
      <c r="F165" s="41" t="s">
        <v>347</v>
      </c>
      <c r="G165" s="91" t="s">
        <v>329</v>
      </c>
      <c r="H165" s="41" t="s">
        <v>334</v>
      </c>
      <c r="I165" s="93">
        <v>0</v>
      </c>
      <c r="J165" s="140">
        <f t="shared" si="67"/>
        <v>0</v>
      </c>
      <c r="K165" s="95">
        <v>37500</v>
      </c>
      <c r="L165" s="96">
        <v>383000</v>
      </c>
      <c r="M165" s="97" t="s">
        <v>25</v>
      </c>
      <c r="N165" s="98">
        <v>4</v>
      </c>
      <c r="O165" s="141">
        <f t="shared" si="68"/>
        <v>1532000</v>
      </c>
      <c r="P165" s="108">
        <v>2.5000000000000001E-2</v>
      </c>
      <c r="Q165" s="166">
        <f t="shared" si="69"/>
        <v>9575</v>
      </c>
      <c r="S165" s="143">
        <f t="shared" si="70"/>
        <v>0</v>
      </c>
      <c r="T165" s="143">
        <f t="shared" si="71"/>
        <v>0</v>
      </c>
      <c r="V165" s="142">
        <f t="shared" si="72"/>
        <v>0</v>
      </c>
      <c r="W165" s="142">
        <f t="shared" si="73"/>
        <v>0</v>
      </c>
      <c r="X165" s="144">
        <f t="shared" si="74"/>
        <v>0</v>
      </c>
      <c r="AA165" s="41" t="s">
        <v>59</v>
      </c>
      <c r="AC165" s="91" t="s">
        <v>202</v>
      </c>
    </row>
    <row r="166" spans="1:29" x14ac:dyDescent="0.2">
      <c r="A166" s="91">
        <v>16</v>
      </c>
      <c r="B166" s="91" t="s">
        <v>375</v>
      </c>
      <c r="C166" s="92">
        <v>36963</v>
      </c>
      <c r="D166" s="41" t="s">
        <v>374</v>
      </c>
      <c r="E166" s="41" t="s">
        <v>14</v>
      </c>
      <c r="F166" s="41" t="s">
        <v>347</v>
      </c>
      <c r="G166" s="91" t="s">
        <v>329</v>
      </c>
      <c r="H166" s="41" t="s">
        <v>334</v>
      </c>
      <c r="I166" s="93">
        <v>0</v>
      </c>
      <c r="J166" s="140">
        <f t="shared" si="67"/>
        <v>0</v>
      </c>
      <c r="K166" s="95">
        <v>37530</v>
      </c>
      <c r="L166" s="96">
        <v>383000</v>
      </c>
      <c r="M166" s="97" t="s">
        <v>25</v>
      </c>
      <c r="N166" s="98">
        <v>4</v>
      </c>
      <c r="O166" s="141">
        <f t="shared" si="68"/>
        <v>1532000</v>
      </c>
      <c r="P166" s="108">
        <v>2.5000000000000001E-2</v>
      </c>
      <c r="Q166" s="166">
        <f t="shared" si="69"/>
        <v>9575</v>
      </c>
      <c r="S166" s="143">
        <f t="shared" si="70"/>
        <v>0</v>
      </c>
      <c r="T166" s="143">
        <f t="shared" si="71"/>
        <v>0</v>
      </c>
      <c r="V166" s="142">
        <f t="shared" si="72"/>
        <v>0</v>
      </c>
      <c r="W166" s="142">
        <f t="shared" si="73"/>
        <v>0</v>
      </c>
      <c r="X166" s="144">
        <f t="shared" si="74"/>
        <v>0</v>
      </c>
      <c r="AA166" s="41" t="s">
        <v>59</v>
      </c>
      <c r="AC166" s="91" t="s">
        <v>202</v>
      </c>
    </row>
    <row r="167" spans="1:29" x14ac:dyDescent="0.2">
      <c r="A167" s="91">
        <v>16</v>
      </c>
      <c r="B167" s="91" t="s">
        <v>375</v>
      </c>
      <c r="C167" s="92">
        <v>36963</v>
      </c>
      <c r="D167" s="41" t="s">
        <v>374</v>
      </c>
      <c r="E167" s="41" t="s">
        <v>14</v>
      </c>
      <c r="F167" s="41" t="s">
        <v>347</v>
      </c>
      <c r="G167" s="91" t="s">
        <v>329</v>
      </c>
      <c r="H167" s="41" t="s">
        <v>334</v>
      </c>
      <c r="I167" s="93">
        <v>0</v>
      </c>
      <c r="J167" s="140">
        <f t="shared" si="67"/>
        <v>0</v>
      </c>
      <c r="K167" s="95">
        <v>37561</v>
      </c>
      <c r="L167" s="96">
        <v>383000</v>
      </c>
      <c r="M167" s="97" t="s">
        <v>25</v>
      </c>
      <c r="N167" s="98">
        <v>4</v>
      </c>
      <c r="O167" s="141">
        <f t="shared" si="68"/>
        <v>1532000</v>
      </c>
      <c r="P167" s="108">
        <v>2.5000000000000001E-2</v>
      </c>
      <c r="Q167" s="166">
        <f t="shared" si="69"/>
        <v>9575</v>
      </c>
      <c r="S167" s="143">
        <f t="shared" si="70"/>
        <v>0</v>
      </c>
      <c r="T167" s="143">
        <f t="shared" si="71"/>
        <v>0</v>
      </c>
      <c r="V167" s="142">
        <f t="shared" si="72"/>
        <v>0</v>
      </c>
      <c r="W167" s="142">
        <f t="shared" si="73"/>
        <v>0</v>
      </c>
      <c r="X167" s="144">
        <f t="shared" si="74"/>
        <v>0</v>
      </c>
      <c r="AA167" s="41" t="s">
        <v>59</v>
      </c>
      <c r="AC167" s="91" t="s">
        <v>202</v>
      </c>
    </row>
    <row r="168" spans="1:29" x14ac:dyDescent="0.2">
      <c r="A168" s="91">
        <v>16</v>
      </c>
      <c r="B168" s="91" t="s">
        <v>375</v>
      </c>
      <c r="C168" s="92">
        <v>36963</v>
      </c>
      <c r="D168" s="41" t="s">
        <v>374</v>
      </c>
      <c r="E168" s="41" t="s">
        <v>14</v>
      </c>
      <c r="F168" s="41" t="s">
        <v>347</v>
      </c>
      <c r="G168" s="91" t="s">
        <v>329</v>
      </c>
      <c r="H168" s="41" t="s">
        <v>334</v>
      </c>
      <c r="I168" s="93">
        <v>0</v>
      </c>
      <c r="J168" s="140">
        <f t="shared" si="67"/>
        <v>0</v>
      </c>
      <c r="K168" s="95">
        <v>37591</v>
      </c>
      <c r="L168" s="96">
        <v>383000</v>
      </c>
      <c r="M168" s="97" t="s">
        <v>25</v>
      </c>
      <c r="N168" s="98">
        <v>4</v>
      </c>
      <c r="O168" s="141">
        <f t="shared" si="68"/>
        <v>1532000</v>
      </c>
      <c r="P168" s="108">
        <v>2.5000000000000001E-2</v>
      </c>
      <c r="Q168" s="166">
        <f t="shared" si="69"/>
        <v>9575</v>
      </c>
      <c r="S168" s="143">
        <f t="shared" si="70"/>
        <v>0</v>
      </c>
      <c r="T168" s="143">
        <f t="shared" si="71"/>
        <v>0</v>
      </c>
      <c r="V168" s="142">
        <f t="shared" si="72"/>
        <v>0</v>
      </c>
      <c r="W168" s="142">
        <f t="shared" si="73"/>
        <v>0</v>
      </c>
      <c r="X168" s="144">
        <f t="shared" si="74"/>
        <v>0</v>
      </c>
      <c r="AA168" s="41" t="s">
        <v>59</v>
      </c>
      <c r="AC168" s="91" t="s">
        <v>202</v>
      </c>
    </row>
    <row r="169" spans="1:29" x14ac:dyDescent="0.2">
      <c r="A169" s="91">
        <v>16</v>
      </c>
      <c r="B169" s="91" t="s">
        <v>375</v>
      </c>
      <c r="C169" s="92">
        <v>36963</v>
      </c>
      <c r="D169" s="41" t="s">
        <v>374</v>
      </c>
      <c r="E169" s="41" t="s">
        <v>14</v>
      </c>
      <c r="F169" s="41" t="s">
        <v>347</v>
      </c>
      <c r="G169" s="91" t="s">
        <v>329</v>
      </c>
      <c r="H169" s="41" t="s">
        <v>334</v>
      </c>
      <c r="I169" s="93">
        <v>0</v>
      </c>
      <c r="J169" s="140">
        <f t="shared" si="67"/>
        <v>0</v>
      </c>
      <c r="K169" s="95">
        <v>37622</v>
      </c>
      <c r="L169" s="96">
        <v>383000</v>
      </c>
      <c r="M169" s="97" t="s">
        <v>25</v>
      </c>
      <c r="N169" s="98">
        <v>4</v>
      </c>
      <c r="O169" s="141">
        <f t="shared" si="68"/>
        <v>1532000</v>
      </c>
      <c r="P169" s="108">
        <v>0.03</v>
      </c>
      <c r="Q169" s="166">
        <f t="shared" si="69"/>
        <v>11490</v>
      </c>
      <c r="S169" s="143">
        <f t="shared" si="70"/>
        <v>0</v>
      </c>
      <c r="T169" s="143">
        <f t="shared" si="71"/>
        <v>0</v>
      </c>
      <c r="V169" s="142">
        <f t="shared" si="72"/>
        <v>0</v>
      </c>
      <c r="W169" s="142">
        <f t="shared" si="73"/>
        <v>0</v>
      </c>
      <c r="X169" s="144">
        <f t="shared" si="74"/>
        <v>0</v>
      </c>
      <c r="AA169" s="41" t="s">
        <v>59</v>
      </c>
      <c r="AC169" s="91" t="s">
        <v>202</v>
      </c>
    </row>
    <row r="170" spans="1:29" x14ac:dyDescent="0.2">
      <c r="A170" s="91">
        <v>16</v>
      </c>
      <c r="B170" s="91" t="s">
        <v>375</v>
      </c>
      <c r="C170" s="92">
        <v>36963</v>
      </c>
      <c r="D170" s="41" t="s">
        <v>374</v>
      </c>
      <c r="E170" s="41" t="s">
        <v>14</v>
      </c>
      <c r="F170" s="41" t="s">
        <v>347</v>
      </c>
      <c r="G170" s="91" t="s">
        <v>329</v>
      </c>
      <c r="H170" s="41" t="s">
        <v>334</v>
      </c>
      <c r="I170" s="93">
        <v>0</v>
      </c>
      <c r="J170" s="140">
        <f t="shared" si="67"/>
        <v>0</v>
      </c>
      <c r="K170" s="95">
        <v>37653</v>
      </c>
      <c r="L170" s="96">
        <v>383000</v>
      </c>
      <c r="M170" s="97" t="s">
        <v>25</v>
      </c>
      <c r="N170" s="98">
        <v>4</v>
      </c>
      <c r="O170" s="141">
        <f t="shared" si="68"/>
        <v>1532000</v>
      </c>
      <c r="P170" s="108">
        <v>0.03</v>
      </c>
      <c r="Q170" s="166">
        <f t="shared" si="69"/>
        <v>11490</v>
      </c>
      <c r="S170" s="143">
        <f t="shared" si="70"/>
        <v>0</v>
      </c>
      <c r="T170" s="143">
        <f t="shared" si="71"/>
        <v>0</v>
      </c>
      <c r="V170" s="142">
        <f t="shared" si="72"/>
        <v>0</v>
      </c>
      <c r="W170" s="142">
        <f t="shared" si="73"/>
        <v>0</v>
      </c>
      <c r="X170" s="144">
        <f t="shared" si="74"/>
        <v>0</v>
      </c>
      <c r="AA170" s="41" t="s">
        <v>59</v>
      </c>
      <c r="AC170" s="91" t="s">
        <v>202</v>
      </c>
    </row>
    <row r="171" spans="1:29" x14ac:dyDescent="0.2">
      <c r="A171" s="91">
        <v>16</v>
      </c>
      <c r="B171" s="91" t="s">
        <v>375</v>
      </c>
      <c r="C171" s="92">
        <v>36963</v>
      </c>
      <c r="D171" s="41" t="s">
        <v>374</v>
      </c>
      <c r="E171" s="41" t="s">
        <v>14</v>
      </c>
      <c r="F171" s="41" t="s">
        <v>347</v>
      </c>
      <c r="G171" s="91" t="s">
        <v>329</v>
      </c>
      <c r="H171" s="41" t="s">
        <v>334</v>
      </c>
      <c r="I171" s="93">
        <v>0</v>
      </c>
      <c r="J171" s="140">
        <f t="shared" si="67"/>
        <v>0</v>
      </c>
      <c r="K171" s="95">
        <v>37681</v>
      </c>
      <c r="L171" s="96">
        <v>383000</v>
      </c>
      <c r="M171" s="97" t="s">
        <v>25</v>
      </c>
      <c r="N171" s="98">
        <v>4</v>
      </c>
      <c r="O171" s="141">
        <f t="shared" si="68"/>
        <v>1532000</v>
      </c>
      <c r="P171" s="108">
        <v>0.03</v>
      </c>
      <c r="Q171" s="166">
        <f t="shared" si="69"/>
        <v>11490</v>
      </c>
      <c r="S171" s="143">
        <f t="shared" si="70"/>
        <v>0</v>
      </c>
      <c r="T171" s="143">
        <f t="shared" si="71"/>
        <v>0</v>
      </c>
      <c r="V171" s="142">
        <f t="shared" si="72"/>
        <v>0</v>
      </c>
      <c r="W171" s="142">
        <f t="shared" si="73"/>
        <v>0</v>
      </c>
      <c r="X171" s="144">
        <f t="shared" si="74"/>
        <v>0</v>
      </c>
      <c r="AA171" s="41" t="s">
        <v>59</v>
      </c>
      <c r="AC171" s="91" t="s">
        <v>202</v>
      </c>
    </row>
    <row r="172" spans="1:29" x14ac:dyDescent="0.2">
      <c r="A172" s="91">
        <v>16</v>
      </c>
      <c r="B172" s="91" t="s">
        <v>375</v>
      </c>
      <c r="C172" s="92">
        <v>36963</v>
      </c>
      <c r="D172" s="41" t="s">
        <v>374</v>
      </c>
      <c r="E172" s="41" t="s">
        <v>14</v>
      </c>
      <c r="F172" s="41" t="s">
        <v>347</v>
      </c>
      <c r="G172" s="91" t="s">
        <v>329</v>
      </c>
      <c r="H172" s="41" t="s">
        <v>334</v>
      </c>
      <c r="I172" s="93">
        <v>0</v>
      </c>
      <c r="J172" s="140">
        <f t="shared" si="67"/>
        <v>0</v>
      </c>
      <c r="K172" s="95">
        <v>37712</v>
      </c>
      <c r="L172" s="96">
        <v>383000</v>
      </c>
      <c r="M172" s="97" t="s">
        <v>25</v>
      </c>
      <c r="N172" s="98">
        <v>4</v>
      </c>
      <c r="O172" s="141">
        <f t="shared" si="68"/>
        <v>1532000</v>
      </c>
      <c r="P172" s="108">
        <v>0.03</v>
      </c>
      <c r="Q172" s="166">
        <f t="shared" si="69"/>
        <v>11490</v>
      </c>
      <c r="S172" s="143">
        <f t="shared" si="70"/>
        <v>0</v>
      </c>
      <c r="T172" s="143">
        <f t="shared" si="71"/>
        <v>0</v>
      </c>
      <c r="V172" s="142">
        <f t="shared" si="72"/>
        <v>0</v>
      </c>
      <c r="W172" s="142">
        <f t="shared" si="73"/>
        <v>0</v>
      </c>
      <c r="X172" s="144">
        <f t="shared" si="74"/>
        <v>0</v>
      </c>
      <c r="AA172" s="41" t="s">
        <v>59</v>
      </c>
      <c r="AC172" s="91" t="s">
        <v>202</v>
      </c>
    </row>
    <row r="173" spans="1:29" x14ac:dyDescent="0.2">
      <c r="A173" s="91">
        <v>16</v>
      </c>
      <c r="B173" s="91" t="s">
        <v>375</v>
      </c>
      <c r="C173" s="92">
        <v>36963</v>
      </c>
      <c r="D173" s="41" t="s">
        <v>374</v>
      </c>
      <c r="E173" s="41" t="s">
        <v>14</v>
      </c>
      <c r="F173" s="41" t="s">
        <v>347</v>
      </c>
      <c r="G173" s="91" t="s">
        <v>329</v>
      </c>
      <c r="H173" s="41" t="s">
        <v>334</v>
      </c>
      <c r="I173" s="93">
        <v>0</v>
      </c>
      <c r="J173" s="140">
        <f t="shared" si="67"/>
        <v>0</v>
      </c>
      <c r="K173" s="95">
        <v>37742</v>
      </c>
      <c r="L173" s="96">
        <v>383000</v>
      </c>
      <c r="M173" s="97" t="s">
        <v>25</v>
      </c>
      <c r="N173" s="98">
        <v>4</v>
      </c>
      <c r="O173" s="141">
        <f t="shared" si="68"/>
        <v>1532000</v>
      </c>
      <c r="P173" s="108">
        <v>0.03</v>
      </c>
      <c r="Q173" s="166">
        <f t="shared" si="69"/>
        <v>11490</v>
      </c>
      <c r="S173" s="143">
        <f t="shared" si="70"/>
        <v>0</v>
      </c>
      <c r="T173" s="143">
        <f t="shared" si="71"/>
        <v>0</v>
      </c>
      <c r="V173" s="142">
        <f t="shared" si="72"/>
        <v>0</v>
      </c>
      <c r="W173" s="142">
        <f t="shared" si="73"/>
        <v>0</v>
      </c>
      <c r="X173" s="144">
        <f t="shared" si="74"/>
        <v>0</v>
      </c>
      <c r="AA173" s="41" t="s">
        <v>59</v>
      </c>
      <c r="AC173" s="91" t="s">
        <v>202</v>
      </c>
    </row>
    <row r="174" spans="1:29" x14ac:dyDescent="0.2">
      <c r="A174" s="91">
        <v>16</v>
      </c>
      <c r="B174" s="91" t="s">
        <v>375</v>
      </c>
      <c r="C174" s="92">
        <v>36963</v>
      </c>
      <c r="D174" s="41" t="s">
        <v>374</v>
      </c>
      <c r="E174" s="41" t="s">
        <v>14</v>
      </c>
      <c r="F174" s="41" t="s">
        <v>347</v>
      </c>
      <c r="G174" s="91" t="s">
        <v>329</v>
      </c>
      <c r="H174" s="41" t="s">
        <v>334</v>
      </c>
      <c r="I174" s="93">
        <v>0</v>
      </c>
      <c r="J174" s="140">
        <f t="shared" si="67"/>
        <v>0</v>
      </c>
      <c r="K174" s="95">
        <v>37773</v>
      </c>
      <c r="L174" s="96">
        <v>383000</v>
      </c>
      <c r="M174" s="97" t="s">
        <v>25</v>
      </c>
      <c r="N174" s="98">
        <v>4</v>
      </c>
      <c r="O174" s="141">
        <f t="shared" si="68"/>
        <v>1532000</v>
      </c>
      <c r="P174" s="108">
        <v>0.03</v>
      </c>
      <c r="Q174" s="166">
        <f t="shared" si="69"/>
        <v>11490</v>
      </c>
      <c r="S174" s="143">
        <f t="shared" si="70"/>
        <v>0</v>
      </c>
      <c r="T174" s="143">
        <f t="shared" si="71"/>
        <v>0</v>
      </c>
      <c r="V174" s="142">
        <f t="shared" si="72"/>
        <v>0</v>
      </c>
      <c r="W174" s="142">
        <f t="shared" si="73"/>
        <v>0</v>
      </c>
      <c r="X174" s="144">
        <f t="shared" si="74"/>
        <v>0</v>
      </c>
      <c r="AA174" s="41" t="s">
        <v>59</v>
      </c>
      <c r="AC174" s="91" t="s">
        <v>202</v>
      </c>
    </row>
    <row r="175" spans="1:29" x14ac:dyDescent="0.2">
      <c r="A175" s="91">
        <v>16</v>
      </c>
      <c r="B175" s="91" t="s">
        <v>375</v>
      </c>
      <c r="C175" s="92">
        <v>36963</v>
      </c>
      <c r="D175" s="41" t="s">
        <v>374</v>
      </c>
      <c r="E175" s="41" t="s">
        <v>14</v>
      </c>
      <c r="F175" s="41" t="s">
        <v>347</v>
      </c>
      <c r="G175" s="91" t="s">
        <v>329</v>
      </c>
      <c r="H175" s="41" t="s">
        <v>334</v>
      </c>
      <c r="I175" s="93">
        <v>0</v>
      </c>
      <c r="J175" s="140">
        <f t="shared" si="67"/>
        <v>0</v>
      </c>
      <c r="K175" s="95">
        <v>37803</v>
      </c>
      <c r="L175" s="96">
        <v>383000</v>
      </c>
      <c r="M175" s="97" t="s">
        <v>25</v>
      </c>
      <c r="N175" s="98">
        <v>4</v>
      </c>
      <c r="O175" s="141">
        <f t="shared" si="68"/>
        <v>1532000</v>
      </c>
      <c r="P175" s="108">
        <v>0.03</v>
      </c>
      <c r="Q175" s="166">
        <f t="shared" si="69"/>
        <v>11490</v>
      </c>
      <c r="S175" s="143">
        <f t="shared" si="70"/>
        <v>0</v>
      </c>
      <c r="T175" s="143">
        <f t="shared" si="71"/>
        <v>0</v>
      </c>
      <c r="V175" s="142">
        <f t="shared" si="72"/>
        <v>0</v>
      </c>
      <c r="W175" s="142">
        <f t="shared" si="73"/>
        <v>0</v>
      </c>
      <c r="X175" s="144">
        <f t="shared" si="74"/>
        <v>0</v>
      </c>
      <c r="AA175" s="41" t="s">
        <v>59</v>
      </c>
      <c r="AC175" s="91" t="s">
        <v>202</v>
      </c>
    </row>
    <row r="176" spans="1:29" x14ac:dyDescent="0.2">
      <c r="A176" s="91">
        <v>16</v>
      </c>
      <c r="B176" s="91" t="s">
        <v>375</v>
      </c>
      <c r="C176" s="92">
        <v>36963</v>
      </c>
      <c r="D176" s="41" t="s">
        <v>374</v>
      </c>
      <c r="E176" s="41" t="s">
        <v>14</v>
      </c>
      <c r="F176" s="41" t="s">
        <v>347</v>
      </c>
      <c r="G176" s="91" t="s">
        <v>329</v>
      </c>
      <c r="H176" s="41" t="s">
        <v>334</v>
      </c>
      <c r="I176" s="93">
        <v>0</v>
      </c>
      <c r="J176" s="140">
        <f t="shared" si="67"/>
        <v>0</v>
      </c>
      <c r="K176" s="95">
        <v>37834</v>
      </c>
      <c r="L176" s="96">
        <v>383000</v>
      </c>
      <c r="M176" s="97" t="s">
        <v>25</v>
      </c>
      <c r="N176" s="98">
        <v>4</v>
      </c>
      <c r="O176" s="141">
        <f t="shared" si="68"/>
        <v>1532000</v>
      </c>
      <c r="P176" s="108">
        <v>0.03</v>
      </c>
      <c r="Q176" s="166">
        <f t="shared" si="69"/>
        <v>11490</v>
      </c>
      <c r="S176" s="143">
        <f t="shared" si="70"/>
        <v>0</v>
      </c>
      <c r="T176" s="143">
        <f t="shared" si="71"/>
        <v>0</v>
      </c>
      <c r="V176" s="142">
        <f t="shared" si="72"/>
        <v>0</v>
      </c>
      <c r="W176" s="142">
        <f t="shared" si="73"/>
        <v>0</v>
      </c>
      <c r="X176" s="144">
        <f t="shared" si="74"/>
        <v>0</v>
      </c>
      <c r="AA176" s="41" t="s">
        <v>59</v>
      </c>
      <c r="AC176" s="91" t="s">
        <v>202</v>
      </c>
    </row>
    <row r="177" spans="1:29" x14ac:dyDescent="0.2">
      <c r="A177" s="91">
        <v>16</v>
      </c>
      <c r="B177" s="91" t="s">
        <v>375</v>
      </c>
      <c r="C177" s="92">
        <v>36963</v>
      </c>
      <c r="D177" s="41" t="s">
        <v>374</v>
      </c>
      <c r="E177" s="41" t="s">
        <v>14</v>
      </c>
      <c r="F177" s="41" t="s">
        <v>347</v>
      </c>
      <c r="G177" s="91" t="s">
        <v>329</v>
      </c>
      <c r="H177" s="41" t="s">
        <v>334</v>
      </c>
      <c r="I177" s="93">
        <v>0</v>
      </c>
      <c r="J177" s="140">
        <f t="shared" si="67"/>
        <v>0</v>
      </c>
      <c r="K177" s="95">
        <v>37865</v>
      </c>
      <c r="L177" s="96">
        <v>383000</v>
      </c>
      <c r="M177" s="97" t="s">
        <v>25</v>
      </c>
      <c r="N177" s="98">
        <v>4</v>
      </c>
      <c r="O177" s="141">
        <f t="shared" si="68"/>
        <v>1532000</v>
      </c>
      <c r="P177" s="108">
        <v>0.03</v>
      </c>
      <c r="Q177" s="166">
        <f t="shared" si="69"/>
        <v>11490</v>
      </c>
      <c r="S177" s="143">
        <f t="shared" si="70"/>
        <v>0</v>
      </c>
      <c r="T177" s="143">
        <f t="shared" si="71"/>
        <v>0</v>
      </c>
      <c r="V177" s="142">
        <f t="shared" si="72"/>
        <v>0</v>
      </c>
      <c r="W177" s="142">
        <f t="shared" si="73"/>
        <v>0</v>
      </c>
      <c r="X177" s="144">
        <f t="shared" si="74"/>
        <v>0</v>
      </c>
      <c r="AA177" s="41" t="s">
        <v>59</v>
      </c>
      <c r="AC177" s="91" t="s">
        <v>202</v>
      </c>
    </row>
    <row r="178" spans="1:29" x14ac:dyDescent="0.2">
      <c r="A178" s="91">
        <v>16</v>
      </c>
      <c r="B178" s="91" t="s">
        <v>375</v>
      </c>
      <c r="C178" s="92">
        <v>36963</v>
      </c>
      <c r="D178" s="41" t="s">
        <v>374</v>
      </c>
      <c r="E178" s="41" t="s">
        <v>14</v>
      </c>
      <c r="F178" s="41" t="s">
        <v>347</v>
      </c>
      <c r="G178" s="91" t="s">
        <v>329</v>
      </c>
      <c r="H178" s="41" t="s">
        <v>334</v>
      </c>
      <c r="I178" s="93">
        <v>0</v>
      </c>
      <c r="J178" s="140">
        <f t="shared" si="67"/>
        <v>0</v>
      </c>
      <c r="K178" s="95">
        <v>37895</v>
      </c>
      <c r="L178" s="96">
        <v>383000</v>
      </c>
      <c r="M178" s="97" t="s">
        <v>25</v>
      </c>
      <c r="N178" s="98">
        <v>4</v>
      </c>
      <c r="O178" s="141">
        <f t="shared" si="68"/>
        <v>1532000</v>
      </c>
      <c r="P178" s="108">
        <v>0.03</v>
      </c>
      <c r="Q178" s="166">
        <f t="shared" si="69"/>
        <v>11490</v>
      </c>
      <c r="S178" s="143">
        <f t="shared" si="70"/>
        <v>0</v>
      </c>
      <c r="T178" s="143">
        <f t="shared" si="71"/>
        <v>0</v>
      </c>
      <c r="V178" s="142">
        <f t="shared" si="72"/>
        <v>0</v>
      </c>
      <c r="W178" s="142">
        <f t="shared" si="73"/>
        <v>0</v>
      </c>
      <c r="X178" s="144">
        <f t="shared" si="74"/>
        <v>0</v>
      </c>
      <c r="AA178" s="41" t="s">
        <v>59</v>
      </c>
      <c r="AC178" s="91" t="s">
        <v>202</v>
      </c>
    </row>
    <row r="179" spans="1:29" x14ac:dyDescent="0.2">
      <c r="A179" s="91">
        <v>16</v>
      </c>
      <c r="B179" s="91" t="s">
        <v>375</v>
      </c>
      <c r="C179" s="92">
        <v>36963</v>
      </c>
      <c r="D179" s="41" t="s">
        <v>374</v>
      </c>
      <c r="E179" s="41" t="s">
        <v>14</v>
      </c>
      <c r="F179" s="41" t="s">
        <v>347</v>
      </c>
      <c r="G179" s="91" t="s">
        <v>329</v>
      </c>
      <c r="H179" s="41" t="s">
        <v>334</v>
      </c>
      <c r="I179" s="93">
        <v>0</v>
      </c>
      <c r="J179" s="140">
        <f t="shared" si="67"/>
        <v>0</v>
      </c>
      <c r="K179" s="95">
        <v>37926</v>
      </c>
      <c r="L179" s="96">
        <v>383000</v>
      </c>
      <c r="M179" s="97" t="s">
        <v>25</v>
      </c>
      <c r="N179" s="98">
        <v>4</v>
      </c>
      <c r="O179" s="141">
        <f t="shared" si="68"/>
        <v>1532000</v>
      </c>
      <c r="P179" s="108">
        <v>0.03</v>
      </c>
      <c r="Q179" s="166">
        <f t="shared" si="69"/>
        <v>11490</v>
      </c>
      <c r="S179" s="143">
        <f t="shared" si="70"/>
        <v>0</v>
      </c>
      <c r="T179" s="143">
        <f t="shared" si="71"/>
        <v>0</v>
      </c>
      <c r="V179" s="142">
        <f t="shared" si="72"/>
        <v>0</v>
      </c>
      <c r="W179" s="142">
        <f t="shared" si="73"/>
        <v>0</v>
      </c>
      <c r="X179" s="144">
        <f t="shared" si="74"/>
        <v>0</v>
      </c>
      <c r="AA179" s="41" t="s">
        <v>59</v>
      </c>
      <c r="AC179" s="91" t="s">
        <v>202</v>
      </c>
    </row>
    <row r="180" spans="1:29" x14ac:dyDescent="0.2">
      <c r="A180" s="91">
        <v>16</v>
      </c>
      <c r="B180" s="91" t="s">
        <v>375</v>
      </c>
      <c r="C180" s="92">
        <v>36963</v>
      </c>
      <c r="D180" s="41" t="s">
        <v>374</v>
      </c>
      <c r="E180" s="41" t="s">
        <v>14</v>
      </c>
      <c r="F180" s="41" t="s">
        <v>347</v>
      </c>
      <c r="G180" s="91" t="s">
        <v>329</v>
      </c>
      <c r="H180" s="41" t="s">
        <v>334</v>
      </c>
      <c r="I180" s="93">
        <v>0</v>
      </c>
      <c r="J180" s="140">
        <f t="shared" si="67"/>
        <v>0</v>
      </c>
      <c r="K180" s="95">
        <v>37956</v>
      </c>
      <c r="L180" s="96">
        <v>383000</v>
      </c>
      <c r="M180" s="97" t="s">
        <v>25</v>
      </c>
      <c r="N180" s="98">
        <v>4</v>
      </c>
      <c r="O180" s="141">
        <f t="shared" si="68"/>
        <v>1532000</v>
      </c>
      <c r="P180" s="108">
        <v>0.03</v>
      </c>
      <c r="Q180" s="166">
        <f t="shared" si="69"/>
        <v>11490</v>
      </c>
      <c r="S180" s="143">
        <f t="shared" si="70"/>
        <v>0</v>
      </c>
      <c r="T180" s="143">
        <f t="shared" si="71"/>
        <v>0</v>
      </c>
      <c r="V180" s="142">
        <f t="shared" si="72"/>
        <v>0</v>
      </c>
      <c r="W180" s="142">
        <f t="shared" si="73"/>
        <v>0</v>
      </c>
      <c r="X180" s="144">
        <f t="shared" si="74"/>
        <v>0</v>
      </c>
      <c r="AA180" s="41" t="s">
        <v>59</v>
      </c>
      <c r="AC180" s="91" t="s">
        <v>202</v>
      </c>
    </row>
    <row r="181" spans="1:29" x14ac:dyDescent="0.2">
      <c r="A181" s="91">
        <v>16</v>
      </c>
      <c r="B181" s="91" t="s">
        <v>375</v>
      </c>
      <c r="C181" s="92">
        <v>36963</v>
      </c>
      <c r="D181" s="41" t="s">
        <v>374</v>
      </c>
      <c r="H181" s="41" t="s">
        <v>376</v>
      </c>
      <c r="I181" s="93">
        <v>0</v>
      </c>
      <c r="J181" s="140">
        <f>+I181*L181</f>
        <v>0</v>
      </c>
      <c r="K181" s="95">
        <v>36982</v>
      </c>
      <c r="N181" s="98"/>
      <c r="O181" s="141">
        <f>L181*N181</f>
        <v>0</v>
      </c>
      <c r="Q181" s="166">
        <f>P181*L181</f>
        <v>0</v>
      </c>
      <c r="V181" s="142">
        <f t="shared" ref="V181:V189" si="75">-0.89*383000</f>
        <v>-340870</v>
      </c>
      <c r="W181" s="142"/>
      <c r="X181" s="144">
        <f>SUM(V181:W181)</f>
        <v>-340870</v>
      </c>
      <c r="AA181" s="41" t="s">
        <v>59</v>
      </c>
      <c r="AC181" s="91" t="s">
        <v>202</v>
      </c>
    </row>
    <row r="182" spans="1:29" x14ac:dyDescent="0.2">
      <c r="A182" s="91">
        <v>16</v>
      </c>
      <c r="B182" s="91" t="s">
        <v>375</v>
      </c>
      <c r="C182" s="92">
        <v>36963</v>
      </c>
      <c r="D182" s="41" t="s">
        <v>374</v>
      </c>
      <c r="H182" s="41" t="s">
        <v>376</v>
      </c>
      <c r="I182" s="93">
        <v>0</v>
      </c>
      <c r="J182" s="140">
        <f t="shared" ref="J182:J213" si="76">+I182*L182</f>
        <v>0</v>
      </c>
      <c r="K182" s="95">
        <v>37012</v>
      </c>
      <c r="N182" s="98"/>
      <c r="O182" s="141">
        <f t="shared" ref="O182:O213" si="77">L182*N182</f>
        <v>0</v>
      </c>
      <c r="Q182" s="166">
        <f t="shared" ref="Q182:Q213" si="78">P182*L182</f>
        <v>0</v>
      </c>
      <c r="V182" s="142">
        <f t="shared" si="75"/>
        <v>-340870</v>
      </c>
      <c r="W182" s="142"/>
      <c r="X182" s="144">
        <f t="shared" ref="X182:X213" si="79">SUM(V182:W182)</f>
        <v>-340870</v>
      </c>
      <c r="AA182" s="41" t="s">
        <v>59</v>
      </c>
      <c r="AC182" s="91" t="s">
        <v>202</v>
      </c>
    </row>
    <row r="183" spans="1:29" x14ac:dyDescent="0.2">
      <c r="A183" s="91">
        <v>16</v>
      </c>
      <c r="B183" s="91" t="s">
        <v>375</v>
      </c>
      <c r="C183" s="92">
        <v>36963</v>
      </c>
      <c r="D183" s="41" t="s">
        <v>374</v>
      </c>
      <c r="H183" s="41" t="s">
        <v>376</v>
      </c>
      <c r="I183" s="93">
        <v>0</v>
      </c>
      <c r="J183" s="140">
        <f t="shared" si="76"/>
        <v>0</v>
      </c>
      <c r="K183" s="95">
        <v>37043</v>
      </c>
      <c r="N183" s="98"/>
      <c r="O183" s="141">
        <f t="shared" si="77"/>
        <v>0</v>
      </c>
      <c r="Q183" s="166">
        <f t="shared" si="78"/>
        <v>0</v>
      </c>
      <c r="V183" s="142">
        <f t="shared" si="75"/>
        <v>-340870</v>
      </c>
      <c r="W183" s="142"/>
      <c r="X183" s="144">
        <f t="shared" si="79"/>
        <v>-340870</v>
      </c>
      <c r="AA183" s="41" t="s">
        <v>59</v>
      </c>
      <c r="AC183" s="91" t="s">
        <v>202</v>
      </c>
    </row>
    <row r="184" spans="1:29" x14ac:dyDescent="0.2">
      <c r="A184" s="91">
        <v>16</v>
      </c>
      <c r="B184" s="91" t="s">
        <v>375</v>
      </c>
      <c r="C184" s="92">
        <v>36963</v>
      </c>
      <c r="D184" s="41" t="s">
        <v>374</v>
      </c>
      <c r="H184" s="41" t="s">
        <v>376</v>
      </c>
      <c r="I184" s="93">
        <v>0</v>
      </c>
      <c r="J184" s="140">
        <f t="shared" si="76"/>
        <v>0</v>
      </c>
      <c r="K184" s="95">
        <v>37073</v>
      </c>
      <c r="N184" s="98"/>
      <c r="O184" s="141">
        <f t="shared" si="77"/>
        <v>0</v>
      </c>
      <c r="Q184" s="166">
        <f t="shared" si="78"/>
        <v>0</v>
      </c>
      <c r="V184" s="142">
        <f t="shared" si="75"/>
        <v>-340870</v>
      </c>
      <c r="W184" s="142"/>
      <c r="X184" s="144">
        <f t="shared" si="79"/>
        <v>-340870</v>
      </c>
      <c r="AA184" s="41" t="s">
        <v>59</v>
      </c>
      <c r="AC184" s="91" t="s">
        <v>202</v>
      </c>
    </row>
    <row r="185" spans="1:29" x14ac:dyDescent="0.2">
      <c r="A185" s="91">
        <v>16</v>
      </c>
      <c r="B185" s="91" t="s">
        <v>375</v>
      </c>
      <c r="C185" s="92">
        <v>36963</v>
      </c>
      <c r="D185" s="41" t="s">
        <v>374</v>
      </c>
      <c r="H185" s="41" t="s">
        <v>376</v>
      </c>
      <c r="I185" s="93">
        <v>0</v>
      </c>
      <c r="J185" s="140">
        <f t="shared" si="76"/>
        <v>0</v>
      </c>
      <c r="K185" s="95">
        <v>37104</v>
      </c>
      <c r="N185" s="98"/>
      <c r="O185" s="141">
        <f t="shared" si="77"/>
        <v>0</v>
      </c>
      <c r="Q185" s="166">
        <f t="shared" si="78"/>
        <v>0</v>
      </c>
      <c r="V185" s="142">
        <f t="shared" si="75"/>
        <v>-340870</v>
      </c>
      <c r="W185" s="142"/>
      <c r="X185" s="144">
        <f t="shared" si="79"/>
        <v>-340870</v>
      </c>
      <c r="AA185" s="41" t="s">
        <v>59</v>
      </c>
      <c r="AC185" s="91" t="s">
        <v>202</v>
      </c>
    </row>
    <row r="186" spans="1:29" x14ac:dyDescent="0.2">
      <c r="A186" s="91">
        <v>16</v>
      </c>
      <c r="B186" s="91" t="s">
        <v>375</v>
      </c>
      <c r="C186" s="92">
        <v>36963</v>
      </c>
      <c r="D186" s="41" t="s">
        <v>374</v>
      </c>
      <c r="H186" s="41" t="s">
        <v>376</v>
      </c>
      <c r="I186" s="93">
        <v>0</v>
      </c>
      <c r="J186" s="140">
        <f t="shared" si="76"/>
        <v>0</v>
      </c>
      <c r="K186" s="95">
        <v>37135</v>
      </c>
      <c r="N186" s="98"/>
      <c r="O186" s="141">
        <f t="shared" si="77"/>
        <v>0</v>
      </c>
      <c r="Q186" s="166">
        <f t="shared" si="78"/>
        <v>0</v>
      </c>
      <c r="V186" s="142">
        <f t="shared" si="75"/>
        <v>-340870</v>
      </c>
      <c r="W186" s="142"/>
      <c r="X186" s="144">
        <f t="shared" si="79"/>
        <v>-340870</v>
      </c>
      <c r="AA186" s="41" t="s">
        <v>59</v>
      </c>
      <c r="AC186" s="91" t="s">
        <v>202</v>
      </c>
    </row>
    <row r="187" spans="1:29" x14ac:dyDescent="0.2">
      <c r="A187" s="91">
        <v>16</v>
      </c>
      <c r="B187" s="91" t="s">
        <v>375</v>
      </c>
      <c r="C187" s="92">
        <v>36963</v>
      </c>
      <c r="D187" s="41" t="s">
        <v>374</v>
      </c>
      <c r="H187" s="41" t="s">
        <v>376</v>
      </c>
      <c r="I187" s="93">
        <v>0</v>
      </c>
      <c r="J187" s="140">
        <f t="shared" si="76"/>
        <v>0</v>
      </c>
      <c r="K187" s="95">
        <v>37165</v>
      </c>
      <c r="N187" s="98"/>
      <c r="O187" s="141">
        <f t="shared" si="77"/>
        <v>0</v>
      </c>
      <c r="Q187" s="166">
        <f t="shared" si="78"/>
        <v>0</v>
      </c>
      <c r="V187" s="142">
        <f t="shared" si="75"/>
        <v>-340870</v>
      </c>
      <c r="W187" s="142"/>
      <c r="X187" s="144">
        <f t="shared" si="79"/>
        <v>-340870</v>
      </c>
      <c r="AA187" s="41" t="s">
        <v>59</v>
      </c>
      <c r="AC187" s="91" t="s">
        <v>202</v>
      </c>
    </row>
    <row r="188" spans="1:29" x14ac:dyDescent="0.2">
      <c r="A188" s="91">
        <v>16</v>
      </c>
      <c r="B188" s="91" t="s">
        <v>375</v>
      </c>
      <c r="C188" s="92">
        <v>36963</v>
      </c>
      <c r="D188" s="41" t="s">
        <v>374</v>
      </c>
      <c r="H188" s="41" t="s">
        <v>376</v>
      </c>
      <c r="I188" s="93">
        <v>0</v>
      </c>
      <c r="J188" s="140">
        <f t="shared" si="76"/>
        <v>0</v>
      </c>
      <c r="K188" s="95">
        <v>37196</v>
      </c>
      <c r="N188" s="98"/>
      <c r="O188" s="141">
        <f t="shared" si="77"/>
        <v>0</v>
      </c>
      <c r="Q188" s="166">
        <f t="shared" si="78"/>
        <v>0</v>
      </c>
      <c r="V188" s="142">
        <f t="shared" si="75"/>
        <v>-340870</v>
      </c>
      <c r="W188" s="142"/>
      <c r="X188" s="144">
        <f t="shared" si="79"/>
        <v>-340870</v>
      </c>
      <c r="AA188" s="41" t="s">
        <v>59</v>
      </c>
      <c r="AC188" s="91" t="s">
        <v>202</v>
      </c>
    </row>
    <row r="189" spans="1:29" x14ac:dyDescent="0.2">
      <c r="A189" s="91">
        <v>16</v>
      </c>
      <c r="B189" s="91" t="s">
        <v>375</v>
      </c>
      <c r="C189" s="92">
        <v>36963</v>
      </c>
      <c r="D189" s="41" t="s">
        <v>374</v>
      </c>
      <c r="H189" s="41" t="s">
        <v>376</v>
      </c>
      <c r="I189" s="93">
        <v>0</v>
      </c>
      <c r="J189" s="140">
        <f t="shared" si="76"/>
        <v>0</v>
      </c>
      <c r="K189" s="95">
        <v>37226</v>
      </c>
      <c r="N189" s="98"/>
      <c r="O189" s="141">
        <f t="shared" si="77"/>
        <v>0</v>
      </c>
      <c r="Q189" s="166">
        <f t="shared" si="78"/>
        <v>0</v>
      </c>
      <c r="V189" s="142">
        <f t="shared" si="75"/>
        <v>-340870</v>
      </c>
      <c r="W189" s="142"/>
      <c r="X189" s="144">
        <f t="shared" si="79"/>
        <v>-340870</v>
      </c>
      <c r="AA189" s="41" t="s">
        <v>59</v>
      </c>
      <c r="AC189" s="91" t="s">
        <v>202</v>
      </c>
    </row>
    <row r="190" spans="1:29" x14ac:dyDescent="0.2">
      <c r="A190" s="91">
        <v>16</v>
      </c>
      <c r="B190" s="91" t="s">
        <v>375</v>
      </c>
      <c r="C190" s="92">
        <v>36963</v>
      </c>
      <c r="D190" s="41" t="s">
        <v>374</v>
      </c>
      <c r="H190" s="41" t="s">
        <v>376</v>
      </c>
      <c r="I190" s="93">
        <v>0</v>
      </c>
      <c r="J190" s="140">
        <f t="shared" si="76"/>
        <v>0</v>
      </c>
      <c r="K190" s="95">
        <v>37257</v>
      </c>
      <c r="N190" s="98"/>
      <c r="O190" s="141">
        <f t="shared" si="77"/>
        <v>0</v>
      </c>
      <c r="Q190" s="166">
        <f t="shared" si="78"/>
        <v>0</v>
      </c>
      <c r="V190" s="142">
        <f>-0.46*383000</f>
        <v>-176180</v>
      </c>
      <c r="W190" s="142"/>
      <c r="X190" s="144">
        <f t="shared" si="79"/>
        <v>-176180</v>
      </c>
      <c r="AA190" s="41" t="s">
        <v>59</v>
      </c>
      <c r="AC190" s="91" t="s">
        <v>202</v>
      </c>
    </row>
    <row r="191" spans="1:29" x14ac:dyDescent="0.2">
      <c r="A191" s="91">
        <v>16</v>
      </c>
      <c r="B191" s="91" t="s">
        <v>375</v>
      </c>
      <c r="C191" s="92">
        <v>36963</v>
      </c>
      <c r="D191" s="41" t="s">
        <v>374</v>
      </c>
      <c r="H191" s="41" t="s">
        <v>376</v>
      </c>
      <c r="I191" s="93">
        <v>0</v>
      </c>
      <c r="J191" s="140">
        <f t="shared" si="76"/>
        <v>0</v>
      </c>
      <c r="K191" s="95">
        <v>37288</v>
      </c>
      <c r="N191" s="98"/>
      <c r="O191" s="141">
        <f t="shared" si="77"/>
        <v>0</v>
      </c>
      <c r="Q191" s="166">
        <f t="shared" si="78"/>
        <v>0</v>
      </c>
      <c r="V191" s="142">
        <f t="shared" ref="V191:V201" si="80">-0.46*383000</f>
        <v>-176180</v>
      </c>
      <c r="W191" s="142"/>
      <c r="X191" s="144">
        <f t="shared" si="79"/>
        <v>-176180</v>
      </c>
      <c r="AA191" s="41" t="s">
        <v>59</v>
      </c>
      <c r="AC191" s="91" t="s">
        <v>202</v>
      </c>
    </row>
    <row r="192" spans="1:29" x14ac:dyDescent="0.2">
      <c r="A192" s="91">
        <v>16</v>
      </c>
      <c r="B192" s="91" t="s">
        <v>375</v>
      </c>
      <c r="C192" s="92">
        <v>36963</v>
      </c>
      <c r="D192" s="41" t="s">
        <v>374</v>
      </c>
      <c r="H192" s="41" t="s">
        <v>376</v>
      </c>
      <c r="I192" s="93">
        <v>0</v>
      </c>
      <c r="J192" s="140">
        <f t="shared" si="76"/>
        <v>0</v>
      </c>
      <c r="K192" s="95">
        <v>37316</v>
      </c>
      <c r="N192" s="98"/>
      <c r="O192" s="141">
        <f t="shared" si="77"/>
        <v>0</v>
      </c>
      <c r="Q192" s="166">
        <f t="shared" si="78"/>
        <v>0</v>
      </c>
      <c r="V192" s="142">
        <f t="shared" si="80"/>
        <v>-176180</v>
      </c>
      <c r="W192" s="142"/>
      <c r="X192" s="144">
        <f t="shared" si="79"/>
        <v>-176180</v>
      </c>
      <c r="AA192" s="41" t="s">
        <v>59</v>
      </c>
      <c r="AC192" s="91" t="s">
        <v>202</v>
      </c>
    </row>
    <row r="193" spans="1:29" x14ac:dyDescent="0.2">
      <c r="A193" s="91">
        <v>16</v>
      </c>
      <c r="B193" s="91" t="s">
        <v>375</v>
      </c>
      <c r="C193" s="92">
        <v>36963</v>
      </c>
      <c r="D193" s="41" t="s">
        <v>374</v>
      </c>
      <c r="H193" s="41" t="s">
        <v>376</v>
      </c>
      <c r="I193" s="93">
        <v>0</v>
      </c>
      <c r="J193" s="140">
        <f t="shared" si="76"/>
        <v>0</v>
      </c>
      <c r="K193" s="95">
        <v>37347</v>
      </c>
      <c r="N193" s="98"/>
      <c r="O193" s="141">
        <f t="shared" si="77"/>
        <v>0</v>
      </c>
      <c r="Q193" s="166">
        <f t="shared" si="78"/>
        <v>0</v>
      </c>
      <c r="V193" s="142">
        <f t="shared" si="80"/>
        <v>-176180</v>
      </c>
      <c r="W193" s="142"/>
      <c r="X193" s="144">
        <f t="shared" si="79"/>
        <v>-176180</v>
      </c>
      <c r="AA193" s="41" t="s">
        <v>59</v>
      </c>
      <c r="AC193" s="91" t="s">
        <v>202</v>
      </c>
    </row>
    <row r="194" spans="1:29" x14ac:dyDescent="0.2">
      <c r="A194" s="91">
        <v>16</v>
      </c>
      <c r="B194" s="91" t="s">
        <v>375</v>
      </c>
      <c r="C194" s="92">
        <v>36963</v>
      </c>
      <c r="D194" s="41" t="s">
        <v>374</v>
      </c>
      <c r="H194" s="41" t="s">
        <v>376</v>
      </c>
      <c r="I194" s="93">
        <v>0</v>
      </c>
      <c r="J194" s="140">
        <f t="shared" si="76"/>
        <v>0</v>
      </c>
      <c r="K194" s="95">
        <v>37377</v>
      </c>
      <c r="N194" s="98"/>
      <c r="O194" s="141">
        <f t="shared" si="77"/>
        <v>0</v>
      </c>
      <c r="Q194" s="166">
        <f t="shared" si="78"/>
        <v>0</v>
      </c>
      <c r="V194" s="142">
        <f t="shared" si="80"/>
        <v>-176180</v>
      </c>
      <c r="W194" s="142"/>
      <c r="X194" s="144">
        <f t="shared" si="79"/>
        <v>-176180</v>
      </c>
      <c r="AA194" s="41" t="s">
        <v>59</v>
      </c>
      <c r="AC194" s="91" t="s">
        <v>202</v>
      </c>
    </row>
    <row r="195" spans="1:29" x14ac:dyDescent="0.2">
      <c r="A195" s="91">
        <v>16</v>
      </c>
      <c r="B195" s="91" t="s">
        <v>375</v>
      </c>
      <c r="C195" s="92">
        <v>36963</v>
      </c>
      <c r="D195" s="41" t="s">
        <v>374</v>
      </c>
      <c r="H195" s="41" t="s">
        <v>376</v>
      </c>
      <c r="I195" s="93">
        <v>0</v>
      </c>
      <c r="J195" s="140">
        <f t="shared" si="76"/>
        <v>0</v>
      </c>
      <c r="K195" s="95">
        <v>37408</v>
      </c>
      <c r="N195" s="98"/>
      <c r="O195" s="141">
        <f t="shared" si="77"/>
        <v>0</v>
      </c>
      <c r="Q195" s="166">
        <f t="shared" si="78"/>
        <v>0</v>
      </c>
      <c r="V195" s="142">
        <f t="shared" si="80"/>
        <v>-176180</v>
      </c>
      <c r="W195" s="142"/>
      <c r="X195" s="144">
        <f t="shared" si="79"/>
        <v>-176180</v>
      </c>
      <c r="AA195" s="41" t="s">
        <v>59</v>
      </c>
      <c r="AC195" s="91" t="s">
        <v>202</v>
      </c>
    </row>
    <row r="196" spans="1:29" x14ac:dyDescent="0.2">
      <c r="A196" s="91">
        <v>16</v>
      </c>
      <c r="B196" s="91" t="s">
        <v>375</v>
      </c>
      <c r="C196" s="92">
        <v>36963</v>
      </c>
      <c r="D196" s="41" t="s">
        <v>374</v>
      </c>
      <c r="H196" s="41" t="s">
        <v>376</v>
      </c>
      <c r="I196" s="93">
        <v>0</v>
      </c>
      <c r="J196" s="140">
        <f t="shared" si="76"/>
        <v>0</v>
      </c>
      <c r="K196" s="95">
        <v>37438</v>
      </c>
      <c r="N196" s="98"/>
      <c r="O196" s="141">
        <f t="shared" si="77"/>
        <v>0</v>
      </c>
      <c r="Q196" s="166">
        <f t="shared" si="78"/>
        <v>0</v>
      </c>
      <c r="V196" s="142">
        <f t="shared" si="80"/>
        <v>-176180</v>
      </c>
      <c r="W196" s="142"/>
      <c r="X196" s="144">
        <f t="shared" si="79"/>
        <v>-176180</v>
      </c>
      <c r="AA196" s="41" t="s">
        <v>59</v>
      </c>
      <c r="AC196" s="91" t="s">
        <v>202</v>
      </c>
    </row>
    <row r="197" spans="1:29" x14ac:dyDescent="0.2">
      <c r="A197" s="91">
        <v>16</v>
      </c>
      <c r="B197" s="91" t="s">
        <v>375</v>
      </c>
      <c r="C197" s="92">
        <v>36963</v>
      </c>
      <c r="D197" s="41" t="s">
        <v>374</v>
      </c>
      <c r="H197" s="41" t="s">
        <v>376</v>
      </c>
      <c r="I197" s="93">
        <v>0</v>
      </c>
      <c r="J197" s="140">
        <f t="shared" si="76"/>
        <v>0</v>
      </c>
      <c r="K197" s="95">
        <v>37469</v>
      </c>
      <c r="N197" s="98"/>
      <c r="O197" s="141">
        <f t="shared" si="77"/>
        <v>0</v>
      </c>
      <c r="Q197" s="166">
        <f t="shared" si="78"/>
        <v>0</v>
      </c>
      <c r="V197" s="142">
        <f t="shared" si="80"/>
        <v>-176180</v>
      </c>
      <c r="W197" s="142"/>
      <c r="X197" s="144">
        <f t="shared" si="79"/>
        <v>-176180</v>
      </c>
      <c r="AA197" s="41" t="s">
        <v>59</v>
      </c>
      <c r="AC197" s="91" t="s">
        <v>202</v>
      </c>
    </row>
    <row r="198" spans="1:29" x14ac:dyDescent="0.2">
      <c r="A198" s="91">
        <v>16</v>
      </c>
      <c r="B198" s="91" t="s">
        <v>375</v>
      </c>
      <c r="C198" s="92">
        <v>36963</v>
      </c>
      <c r="D198" s="41" t="s">
        <v>374</v>
      </c>
      <c r="H198" s="41" t="s">
        <v>376</v>
      </c>
      <c r="I198" s="93">
        <v>0</v>
      </c>
      <c r="J198" s="140">
        <f t="shared" si="76"/>
        <v>0</v>
      </c>
      <c r="K198" s="95">
        <v>37500</v>
      </c>
      <c r="N198" s="98"/>
      <c r="O198" s="141">
        <f t="shared" si="77"/>
        <v>0</v>
      </c>
      <c r="Q198" s="166">
        <f t="shared" si="78"/>
        <v>0</v>
      </c>
      <c r="V198" s="142">
        <f t="shared" si="80"/>
        <v>-176180</v>
      </c>
      <c r="W198" s="142"/>
      <c r="X198" s="144">
        <f t="shared" si="79"/>
        <v>-176180</v>
      </c>
      <c r="AA198" s="41" t="s">
        <v>59</v>
      </c>
      <c r="AC198" s="91" t="s">
        <v>202</v>
      </c>
    </row>
    <row r="199" spans="1:29" x14ac:dyDescent="0.2">
      <c r="A199" s="91">
        <v>16</v>
      </c>
      <c r="B199" s="91" t="s">
        <v>375</v>
      </c>
      <c r="C199" s="92">
        <v>36963</v>
      </c>
      <c r="D199" s="41" t="s">
        <v>374</v>
      </c>
      <c r="H199" s="41" t="s">
        <v>376</v>
      </c>
      <c r="I199" s="93">
        <v>0</v>
      </c>
      <c r="J199" s="140">
        <f t="shared" si="76"/>
        <v>0</v>
      </c>
      <c r="K199" s="95">
        <v>37530</v>
      </c>
      <c r="N199" s="98"/>
      <c r="O199" s="141">
        <f t="shared" si="77"/>
        <v>0</v>
      </c>
      <c r="Q199" s="166">
        <f t="shared" si="78"/>
        <v>0</v>
      </c>
      <c r="V199" s="142">
        <f t="shared" si="80"/>
        <v>-176180</v>
      </c>
      <c r="W199" s="142"/>
      <c r="X199" s="144">
        <f t="shared" si="79"/>
        <v>-176180</v>
      </c>
      <c r="AA199" s="41" t="s">
        <v>59</v>
      </c>
      <c r="AC199" s="91" t="s">
        <v>202</v>
      </c>
    </row>
    <row r="200" spans="1:29" x14ac:dyDescent="0.2">
      <c r="A200" s="91">
        <v>16</v>
      </c>
      <c r="B200" s="91" t="s">
        <v>375</v>
      </c>
      <c r="C200" s="92">
        <v>36963</v>
      </c>
      <c r="D200" s="41" t="s">
        <v>374</v>
      </c>
      <c r="H200" s="41" t="s">
        <v>376</v>
      </c>
      <c r="I200" s="93">
        <v>0</v>
      </c>
      <c r="J200" s="140">
        <f t="shared" si="76"/>
        <v>0</v>
      </c>
      <c r="K200" s="95">
        <v>37561</v>
      </c>
      <c r="N200" s="98"/>
      <c r="O200" s="141">
        <f t="shared" si="77"/>
        <v>0</v>
      </c>
      <c r="Q200" s="166">
        <f t="shared" si="78"/>
        <v>0</v>
      </c>
      <c r="V200" s="142">
        <f t="shared" si="80"/>
        <v>-176180</v>
      </c>
      <c r="W200" s="142"/>
      <c r="X200" s="144">
        <f t="shared" si="79"/>
        <v>-176180</v>
      </c>
      <c r="AA200" s="41" t="s">
        <v>59</v>
      </c>
      <c r="AC200" s="91" t="s">
        <v>202</v>
      </c>
    </row>
    <row r="201" spans="1:29" x14ac:dyDescent="0.2">
      <c r="A201" s="91">
        <v>16</v>
      </c>
      <c r="B201" s="91" t="s">
        <v>375</v>
      </c>
      <c r="C201" s="92">
        <v>36963</v>
      </c>
      <c r="D201" s="41" t="s">
        <v>374</v>
      </c>
      <c r="H201" s="41" t="s">
        <v>376</v>
      </c>
      <c r="I201" s="93">
        <v>0</v>
      </c>
      <c r="J201" s="140">
        <f t="shared" si="76"/>
        <v>0</v>
      </c>
      <c r="K201" s="95">
        <v>37591</v>
      </c>
      <c r="N201" s="98"/>
      <c r="O201" s="141">
        <f t="shared" si="77"/>
        <v>0</v>
      </c>
      <c r="Q201" s="166">
        <f t="shared" si="78"/>
        <v>0</v>
      </c>
      <c r="V201" s="142">
        <f t="shared" si="80"/>
        <v>-176180</v>
      </c>
      <c r="W201" s="142"/>
      <c r="X201" s="144">
        <f t="shared" si="79"/>
        <v>-176180</v>
      </c>
      <c r="AA201" s="41" t="s">
        <v>59</v>
      </c>
      <c r="AC201" s="91" t="s">
        <v>202</v>
      </c>
    </row>
    <row r="202" spans="1:29" x14ac:dyDescent="0.2">
      <c r="A202" s="91">
        <v>16</v>
      </c>
      <c r="B202" s="91" t="s">
        <v>375</v>
      </c>
      <c r="C202" s="92">
        <v>36963</v>
      </c>
      <c r="D202" s="41" t="s">
        <v>374</v>
      </c>
      <c r="H202" s="41" t="s">
        <v>376</v>
      </c>
      <c r="I202" s="93">
        <v>0</v>
      </c>
      <c r="J202" s="140">
        <f t="shared" si="76"/>
        <v>0</v>
      </c>
      <c r="K202" s="95">
        <v>37622</v>
      </c>
      <c r="N202" s="98"/>
      <c r="O202" s="141">
        <f t="shared" si="77"/>
        <v>0</v>
      </c>
      <c r="Q202" s="166">
        <f t="shared" si="78"/>
        <v>0</v>
      </c>
      <c r="V202" s="142">
        <f>-0.21*383000</f>
        <v>-80430</v>
      </c>
      <c r="W202" s="142"/>
      <c r="X202" s="144">
        <f t="shared" si="79"/>
        <v>-80430</v>
      </c>
      <c r="AA202" s="41" t="s">
        <v>59</v>
      </c>
      <c r="AC202" s="91" t="s">
        <v>202</v>
      </c>
    </row>
    <row r="203" spans="1:29" x14ac:dyDescent="0.2">
      <c r="A203" s="91">
        <v>16</v>
      </c>
      <c r="B203" s="91" t="s">
        <v>375</v>
      </c>
      <c r="C203" s="92">
        <v>36963</v>
      </c>
      <c r="D203" s="41" t="s">
        <v>374</v>
      </c>
      <c r="H203" s="41" t="s">
        <v>376</v>
      </c>
      <c r="I203" s="93">
        <v>0</v>
      </c>
      <c r="J203" s="140">
        <f t="shared" si="76"/>
        <v>0</v>
      </c>
      <c r="K203" s="95">
        <v>37653</v>
      </c>
      <c r="N203" s="98"/>
      <c r="O203" s="141">
        <f t="shared" si="77"/>
        <v>0</v>
      </c>
      <c r="Q203" s="166">
        <f t="shared" si="78"/>
        <v>0</v>
      </c>
      <c r="V203" s="142">
        <f t="shared" ref="V203:V213" si="81">-0.21*383000</f>
        <v>-80430</v>
      </c>
      <c r="W203" s="142"/>
      <c r="X203" s="144">
        <f t="shared" si="79"/>
        <v>-80430</v>
      </c>
      <c r="AA203" s="41" t="s">
        <v>59</v>
      </c>
      <c r="AC203" s="91" t="s">
        <v>202</v>
      </c>
    </row>
    <row r="204" spans="1:29" x14ac:dyDescent="0.2">
      <c r="A204" s="91">
        <v>16</v>
      </c>
      <c r="B204" s="91" t="s">
        <v>375</v>
      </c>
      <c r="C204" s="92">
        <v>36963</v>
      </c>
      <c r="D204" s="41" t="s">
        <v>374</v>
      </c>
      <c r="H204" s="41" t="s">
        <v>376</v>
      </c>
      <c r="I204" s="93">
        <v>0</v>
      </c>
      <c r="J204" s="140">
        <f t="shared" si="76"/>
        <v>0</v>
      </c>
      <c r="K204" s="95">
        <v>37681</v>
      </c>
      <c r="N204" s="98"/>
      <c r="O204" s="141">
        <f t="shared" si="77"/>
        <v>0</v>
      </c>
      <c r="Q204" s="166">
        <f t="shared" si="78"/>
        <v>0</v>
      </c>
      <c r="V204" s="142">
        <f t="shared" si="81"/>
        <v>-80430</v>
      </c>
      <c r="W204" s="142"/>
      <c r="X204" s="144">
        <f t="shared" si="79"/>
        <v>-80430</v>
      </c>
      <c r="AA204" s="41" t="s">
        <v>59</v>
      </c>
      <c r="AC204" s="91" t="s">
        <v>202</v>
      </c>
    </row>
    <row r="205" spans="1:29" x14ac:dyDescent="0.2">
      <c r="A205" s="91">
        <v>16</v>
      </c>
      <c r="B205" s="91" t="s">
        <v>375</v>
      </c>
      <c r="C205" s="92">
        <v>36963</v>
      </c>
      <c r="D205" s="41" t="s">
        <v>374</v>
      </c>
      <c r="H205" s="41" t="s">
        <v>376</v>
      </c>
      <c r="I205" s="93">
        <v>0</v>
      </c>
      <c r="J205" s="140">
        <f t="shared" si="76"/>
        <v>0</v>
      </c>
      <c r="K205" s="95">
        <v>37712</v>
      </c>
      <c r="N205" s="98"/>
      <c r="O205" s="141">
        <f t="shared" si="77"/>
        <v>0</v>
      </c>
      <c r="Q205" s="166">
        <f t="shared" si="78"/>
        <v>0</v>
      </c>
      <c r="V205" s="142">
        <f t="shared" si="81"/>
        <v>-80430</v>
      </c>
      <c r="W205" s="142"/>
      <c r="X205" s="144">
        <f t="shared" si="79"/>
        <v>-80430</v>
      </c>
      <c r="AA205" s="41" t="s">
        <v>59</v>
      </c>
      <c r="AC205" s="91" t="s">
        <v>202</v>
      </c>
    </row>
    <row r="206" spans="1:29" x14ac:dyDescent="0.2">
      <c r="A206" s="91">
        <v>16</v>
      </c>
      <c r="B206" s="91" t="s">
        <v>375</v>
      </c>
      <c r="C206" s="92">
        <v>36963</v>
      </c>
      <c r="D206" s="41" t="s">
        <v>374</v>
      </c>
      <c r="H206" s="41" t="s">
        <v>376</v>
      </c>
      <c r="I206" s="93">
        <v>0</v>
      </c>
      <c r="J206" s="140">
        <f t="shared" si="76"/>
        <v>0</v>
      </c>
      <c r="K206" s="95">
        <v>37742</v>
      </c>
      <c r="N206" s="98"/>
      <c r="O206" s="141">
        <f t="shared" si="77"/>
        <v>0</v>
      </c>
      <c r="Q206" s="166">
        <f t="shared" si="78"/>
        <v>0</v>
      </c>
      <c r="V206" s="142">
        <f t="shared" si="81"/>
        <v>-80430</v>
      </c>
      <c r="W206" s="142"/>
      <c r="X206" s="144">
        <f t="shared" si="79"/>
        <v>-80430</v>
      </c>
      <c r="AA206" s="41" t="s">
        <v>59</v>
      </c>
      <c r="AC206" s="91" t="s">
        <v>202</v>
      </c>
    </row>
    <row r="207" spans="1:29" x14ac:dyDescent="0.2">
      <c r="A207" s="91">
        <v>16</v>
      </c>
      <c r="B207" s="91" t="s">
        <v>375</v>
      </c>
      <c r="C207" s="92">
        <v>36963</v>
      </c>
      <c r="D207" s="41" t="s">
        <v>374</v>
      </c>
      <c r="H207" s="41" t="s">
        <v>376</v>
      </c>
      <c r="I207" s="93">
        <v>0</v>
      </c>
      <c r="J207" s="140">
        <f t="shared" si="76"/>
        <v>0</v>
      </c>
      <c r="K207" s="95">
        <v>37773</v>
      </c>
      <c r="N207" s="98"/>
      <c r="O207" s="141">
        <f t="shared" si="77"/>
        <v>0</v>
      </c>
      <c r="Q207" s="166">
        <f t="shared" si="78"/>
        <v>0</v>
      </c>
      <c r="V207" s="142">
        <f t="shared" si="81"/>
        <v>-80430</v>
      </c>
      <c r="W207" s="142"/>
      <c r="X207" s="144">
        <f t="shared" si="79"/>
        <v>-80430</v>
      </c>
      <c r="AA207" s="41" t="s">
        <v>59</v>
      </c>
      <c r="AC207" s="91" t="s">
        <v>202</v>
      </c>
    </row>
    <row r="208" spans="1:29" x14ac:dyDescent="0.2">
      <c r="A208" s="91">
        <v>16</v>
      </c>
      <c r="B208" s="91" t="s">
        <v>375</v>
      </c>
      <c r="C208" s="92">
        <v>36963</v>
      </c>
      <c r="D208" s="41" t="s">
        <v>374</v>
      </c>
      <c r="H208" s="41" t="s">
        <v>376</v>
      </c>
      <c r="I208" s="93">
        <v>0</v>
      </c>
      <c r="J208" s="140">
        <f t="shared" si="76"/>
        <v>0</v>
      </c>
      <c r="K208" s="95">
        <v>37803</v>
      </c>
      <c r="N208" s="98"/>
      <c r="O208" s="141">
        <f t="shared" si="77"/>
        <v>0</v>
      </c>
      <c r="Q208" s="166">
        <f t="shared" si="78"/>
        <v>0</v>
      </c>
      <c r="V208" s="142">
        <f t="shared" si="81"/>
        <v>-80430</v>
      </c>
      <c r="W208" s="142"/>
      <c r="X208" s="144">
        <f t="shared" si="79"/>
        <v>-80430</v>
      </c>
      <c r="AA208" s="41" t="s">
        <v>59</v>
      </c>
      <c r="AC208" s="91" t="s">
        <v>202</v>
      </c>
    </row>
    <row r="209" spans="1:30" x14ac:dyDescent="0.2">
      <c r="A209" s="91">
        <v>16</v>
      </c>
      <c r="B209" s="91" t="s">
        <v>375</v>
      </c>
      <c r="C209" s="92">
        <v>36963</v>
      </c>
      <c r="D209" s="41" t="s">
        <v>374</v>
      </c>
      <c r="H209" s="41" t="s">
        <v>376</v>
      </c>
      <c r="I209" s="93">
        <v>0</v>
      </c>
      <c r="J209" s="140">
        <f t="shared" si="76"/>
        <v>0</v>
      </c>
      <c r="K209" s="95">
        <v>37834</v>
      </c>
      <c r="N209" s="98"/>
      <c r="O209" s="141">
        <f t="shared" si="77"/>
        <v>0</v>
      </c>
      <c r="Q209" s="166">
        <f t="shared" si="78"/>
        <v>0</v>
      </c>
      <c r="V209" s="142">
        <f t="shared" si="81"/>
        <v>-80430</v>
      </c>
      <c r="W209" s="142"/>
      <c r="X209" s="144">
        <f t="shared" si="79"/>
        <v>-80430</v>
      </c>
      <c r="AA209" s="41" t="s">
        <v>59</v>
      </c>
      <c r="AC209" s="91" t="s">
        <v>202</v>
      </c>
    </row>
    <row r="210" spans="1:30" x14ac:dyDescent="0.2">
      <c r="A210" s="91">
        <v>16</v>
      </c>
      <c r="B210" s="91" t="s">
        <v>375</v>
      </c>
      <c r="C210" s="92">
        <v>36963</v>
      </c>
      <c r="D210" s="41" t="s">
        <v>374</v>
      </c>
      <c r="H210" s="41" t="s">
        <v>376</v>
      </c>
      <c r="I210" s="93">
        <v>0</v>
      </c>
      <c r="J210" s="140">
        <f t="shared" si="76"/>
        <v>0</v>
      </c>
      <c r="K210" s="95">
        <v>37865</v>
      </c>
      <c r="N210" s="98"/>
      <c r="O210" s="141">
        <f t="shared" si="77"/>
        <v>0</v>
      </c>
      <c r="Q210" s="166">
        <f t="shared" si="78"/>
        <v>0</v>
      </c>
      <c r="V210" s="142">
        <f t="shared" si="81"/>
        <v>-80430</v>
      </c>
      <c r="W210" s="142"/>
      <c r="X210" s="144">
        <f t="shared" si="79"/>
        <v>-80430</v>
      </c>
      <c r="AA210" s="41" t="s">
        <v>59</v>
      </c>
      <c r="AC210" s="91" t="s">
        <v>202</v>
      </c>
    </row>
    <row r="211" spans="1:30" x14ac:dyDescent="0.2">
      <c r="A211" s="91">
        <v>16</v>
      </c>
      <c r="B211" s="91" t="s">
        <v>375</v>
      </c>
      <c r="C211" s="92">
        <v>36963</v>
      </c>
      <c r="D211" s="41" t="s">
        <v>374</v>
      </c>
      <c r="H211" s="41" t="s">
        <v>376</v>
      </c>
      <c r="I211" s="93">
        <v>0</v>
      </c>
      <c r="J211" s="140">
        <f t="shared" si="76"/>
        <v>0</v>
      </c>
      <c r="K211" s="95">
        <v>37895</v>
      </c>
      <c r="N211" s="98"/>
      <c r="O211" s="141">
        <f t="shared" si="77"/>
        <v>0</v>
      </c>
      <c r="Q211" s="166">
        <f t="shared" si="78"/>
        <v>0</v>
      </c>
      <c r="V211" s="142">
        <f t="shared" si="81"/>
        <v>-80430</v>
      </c>
      <c r="W211" s="142"/>
      <c r="X211" s="144">
        <f t="shared" si="79"/>
        <v>-80430</v>
      </c>
      <c r="AA211" s="41" t="s">
        <v>59</v>
      </c>
      <c r="AC211" s="91" t="s">
        <v>202</v>
      </c>
    </row>
    <row r="212" spans="1:30" x14ac:dyDescent="0.2">
      <c r="A212" s="91">
        <v>16</v>
      </c>
      <c r="B212" s="91" t="s">
        <v>375</v>
      </c>
      <c r="C212" s="92">
        <v>36963</v>
      </c>
      <c r="D212" s="41" t="s">
        <v>374</v>
      </c>
      <c r="H212" s="41" t="s">
        <v>376</v>
      </c>
      <c r="I212" s="93">
        <v>0</v>
      </c>
      <c r="J212" s="140">
        <f t="shared" si="76"/>
        <v>0</v>
      </c>
      <c r="K212" s="95">
        <v>37926</v>
      </c>
      <c r="N212" s="98"/>
      <c r="O212" s="141">
        <f t="shared" si="77"/>
        <v>0</v>
      </c>
      <c r="Q212" s="166">
        <f t="shared" si="78"/>
        <v>0</v>
      </c>
      <c r="V212" s="142">
        <f t="shared" si="81"/>
        <v>-80430</v>
      </c>
      <c r="W212" s="142"/>
      <c r="X212" s="144">
        <f t="shared" si="79"/>
        <v>-80430</v>
      </c>
      <c r="AA212" s="41" t="s">
        <v>59</v>
      </c>
      <c r="AC212" s="91" t="s">
        <v>202</v>
      </c>
    </row>
    <row r="213" spans="1:30" x14ac:dyDescent="0.2">
      <c r="A213" s="91">
        <v>16</v>
      </c>
      <c r="B213" s="91" t="s">
        <v>375</v>
      </c>
      <c r="C213" s="92">
        <v>36963</v>
      </c>
      <c r="D213" s="41" t="s">
        <v>374</v>
      </c>
      <c r="H213" s="41" t="s">
        <v>376</v>
      </c>
      <c r="I213" s="93">
        <v>0</v>
      </c>
      <c r="J213" s="140">
        <f t="shared" si="76"/>
        <v>0</v>
      </c>
      <c r="K213" s="95">
        <v>37956</v>
      </c>
      <c r="N213" s="98"/>
      <c r="O213" s="141">
        <f t="shared" si="77"/>
        <v>0</v>
      </c>
      <c r="Q213" s="166">
        <f t="shared" si="78"/>
        <v>0</v>
      </c>
      <c r="V213" s="142">
        <f t="shared" si="81"/>
        <v>-80430</v>
      </c>
      <c r="W213" s="142"/>
      <c r="X213" s="144">
        <f t="shared" si="79"/>
        <v>-80430</v>
      </c>
      <c r="AA213" s="41" t="s">
        <v>59</v>
      </c>
      <c r="AC213" s="91" t="s">
        <v>202</v>
      </c>
    </row>
    <row r="215" spans="1:30" x14ac:dyDescent="0.2">
      <c r="A215" s="91">
        <v>17</v>
      </c>
      <c r="C215" s="92">
        <v>36973</v>
      </c>
      <c r="D215" s="41" t="s">
        <v>136</v>
      </c>
      <c r="E215" s="41" t="s">
        <v>14</v>
      </c>
      <c r="F215" s="41" t="s">
        <v>347</v>
      </c>
      <c r="G215" s="91" t="s">
        <v>329</v>
      </c>
      <c r="H215" s="41" t="s">
        <v>112</v>
      </c>
      <c r="I215" s="93">
        <v>0.91</v>
      </c>
      <c r="J215" s="140">
        <f>+I215*L215</f>
        <v>54600</v>
      </c>
      <c r="K215" s="95">
        <v>36982</v>
      </c>
      <c r="L215" s="96">
        <v>60000</v>
      </c>
      <c r="M215" s="97" t="s">
        <v>25</v>
      </c>
      <c r="N215" s="98">
        <v>7</v>
      </c>
      <c r="O215" s="141">
        <f>L215*N215</f>
        <v>420000</v>
      </c>
      <c r="P215" s="108">
        <v>0.01</v>
      </c>
      <c r="Q215" s="166">
        <f>P215*L215</f>
        <v>600</v>
      </c>
      <c r="S215" s="143">
        <f>VLOOKUP(K215,Prices,HLOOKUP(F215,Column,2))</f>
        <v>0</v>
      </c>
      <c r="T215" s="143">
        <f>IF(S215=0,VLOOKUP(K215,FWD_Prices,HLOOKUP(F215,Column,2)),0)</f>
        <v>0</v>
      </c>
      <c r="V215" s="142">
        <f>IF(H215="Swap",S215-N215,IF(H215="Call",MAX(S215-N215,0),IF(H215="Put",MAX(N215-S215,0),"Error on Structure")))
* IF(G215="Buy",1,IF(G215="Sell",-1,"Error on Buy/Sell"))
* L215
* IF(S215=0,0,1)</f>
        <v>0</v>
      </c>
      <c r="W215" s="142">
        <f>IF(H215="Swap",T215-N215,IF(H215="Call",MAX(T215-N215,0),IF(H215="Put",MAX(N215-T215,0),"Error on Structure")))
* IF(G215="Buy",1,IF(G215="Sell",-1,"Error on Buy/Sell"))
* L215
* IF(T215=0,0,1)</f>
        <v>0</v>
      </c>
      <c r="X215" s="144">
        <f>SUM(V215:W215)</f>
        <v>0</v>
      </c>
      <c r="AA215" s="41" t="s">
        <v>206</v>
      </c>
      <c r="AC215" s="91" t="s">
        <v>202</v>
      </c>
      <c r="AD215" s="41" t="s">
        <v>296</v>
      </c>
    </row>
    <row r="216" spans="1:30" x14ac:dyDescent="0.2">
      <c r="A216" s="91">
        <v>17</v>
      </c>
      <c r="C216" s="92">
        <v>36973</v>
      </c>
      <c r="D216" s="41" t="s">
        <v>136</v>
      </c>
      <c r="E216" s="41" t="s">
        <v>14</v>
      </c>
      <c r="F216" s="41" t="s">
        <v>347</v>
      </c>
      <c r="G216" s="91" t="s">
        <v>329</v>
      </c>
      <c r="H216" s="41" t="s">
        <v>112</v>
      </c>
      <c r="I216" s="93">
        <v>0.91</v>
      </c>
      <c r="J216" s="140">
        <f>+I216*L216</f>
        <v>54600</v>
      </c>
      <c r="K216" s="95">
        <v>37012</v>
      </c>
      <c r="L216" s="96">
        <v>60000</v>
      </c>
      <c r="M216" s="97" t="s">
        <v>25</v>
      </c>
      <c r="N216" s="98">
        <v>7</v>
      </c>
      <c r="O216" s="141">
        <f>L216*N216</f>
        <v>420000</v>
      </c>
      <c r="P216" s="108">
        <v>0.01</v>
      </c>
      <c r="Q216" s="166">
        <f>P216*L216</f>
        <v>600</v>
      </c>
      <c r="S216" s="143">
        <f>VLOOKUP(K216,Prices,HLOOKUP(F216,Column,2))</f>
        <v>0</v>
      </c>
      <c r="T216" s="143">
        <f>IF(S216=0,VLOOKUP(K216,FWD_Prices,HLOOKUP(F216,Column,2)),0)</f>
        <v>0</v>
      </c>
      <c r="V216" s="142">
        <f>IF(H216="Swap",S216-N216,IF(H216="Call",MAX(S216-N216,0),IF(H216="Put",MAX(N216-S216,0),"Error on Structure")))
* IF(G216="Buy",1,IF(G216="Sell",-1,"Error on Buy/Sell"))
* L216
* IF(S216=0,0,1)</f>
        <v>0</v>
      </c>
      <c r="W216" s="142">
        <f>IF(H216="Swap",T216-N216,IF(H216="Call",MAX(T216-N216,0),IF(H216="Put",MAX(N216-T216,0),"Error on Structure")))
* IF(G216="Buy",1,IF(G216="Sell",-1,"Error on Buy/Sell"))
* L216
* IF(T216=0,0,1)</f>
        <v>0</v>
      </c>
      <c r="X216" s="144">
        <f>SUM(V216:W216)</f>
        <v>0</v>
      </c>
      <c r="AA216" s="41" t="s">
        <v>206</v>
      </c>
      <c r="AC216" s="91" t="s">
        <v>202</v>
      </c>
      <c r="AD216" s="41" t="s">
        <v>296</v>
      </c>
    </row>
    <row r="217" spans="1:30" x14ac:dyDescent="0.2">
      <c r="A217" s="91">
        <v>17</v>
      </c>
      <c r="C217" s="92">
        <v>36973</v>
      </c>
      <c r="D217" s="41" t="s">
        <v>136</v>
      </c>
      <c r="E217" s="41" t="s">
        <v>14</v>
      </c>
      <c r="F217" s="41" t="s">
        <v>347</v>
      </c>
      <c r="G217" s="91" t="s">
        <v>327</v>
      </c>
      <c r="H217" s="41" t="s">
        <v>330</v>
      </c>
      <c r="I217" s="93">
        <v>0</v>
      </c>
      <c r="J217" s="140">
        <f>+I217*L217</f>
        <v>0</v>
      </c>
      <c r="K217" s="95">
        <v>36982</v>
      </c>
      <c r="L217" s="96">
        <v>60000</v>
      </c>
      <c r="M217" s="97" t="s">
        <v>25</v>
      </c>
      <c r="N217" s="98">
        <v>6</v>
      </c>
      <c r="O217" s="141">
        <f>L217*N217</f>
        <v>360000</v>
      </c>
      <c r="P217" s="108">
        <v>0</v>
      </c>
      <c r="Q217" s="166">
        <f>P217*L217</f>
        <v>0</v>
      </c>
      <c r="S217" s="143">
        <f>VLOOKUP(K217,Prices,HLOOKUP(F217,Column,2))</f>
        <v>0</v>
      </c>
      <c r="T217" s="143">
        <f>IF(S217=0,VLOOKUP(K217,FWD_Prices,HLOOKUP(F217,Column,2)),0)</f>
        <v>0</v>
      </c>
      <c r="V217" s="142">
        <f>IF(H217="Swap",S217-N217,IF(H217="Call",MAX(S217-N217,0),IF(H217="Put",MAX(N217-S217,0),"Error on Structure")))
* IF(G217="Buy",1,IF(G217="Sell",-1,"Error on Buy/Sell"))
* L217
* IF(S217=0,0,1)</f>
        <v>0</v>
      </c>
      <c r="W217" s="142">
        <f>IF(H217="Swap",T217-N217,IF(H217="Call",MAX(T217-N217,0),IF(H217="Put",MAX(N217-T217,0),"Error on Structure")))
* IF(G217="Buy",1,IF(G217="Sell",-1,"Error on Buy/Sell"))
* L217
* IF(T217=0,0,1)</f>
        <v>0</v>
      </c>
      <c r="X217" s="144">
        <f>SUM(V217:W217)</f>
        <v>0</v>
      </c>
      <c r="AA217" s="41" t="s">
        <v>206</v>
      </c>
      <c r="AC217" s="91" t="s">
        <v>202</v>
      </c>
      <c r="AD217" s="41" t="s">
        <v>296</v>
      </c>
    </row>
    <row r="218" spans="1:30" x14ac:dyDescent="0.2">
      <c r="A218" s="91">
        <v>17</v>
      </c>
      <c r="C218" s="92">
        <v>36973</v>
      </c>
      <c r="D218" s="41" t="s">
        <v>136</v>
      </c>
      <c r="E218" s="41" t="s">
        <v>14</v>
      </c>
      <c r="F218" s="41" t="s">
        <v>347</v>
      </c>
      <c r="G218" s="91" t="s">
        <v>327</v>
      </c>
      <c r="H218" s="41" t="s">
        <v>330</v>
      </c>
      <c r="I218" s="93">
        <v>0</v>
      </c>
      <c r="J218" s="140">
        <f>+I218*L218</f>
        <v>0</v>
      </c>
      <c r="K218" s="95">
        <v>37012</v>
      </c>
      <c r="L218" s="96">
        <v>60000</v>
      </c>
      <c r="M218" s="97" t="s">
        <v>25</v>
      </c>
      <c r="N218" s="98">
        <v>6</v>
      </c>
      <c r="O218" s="141">
        <f>L218*N218</f>
        <v>360000</v>
      </c>
      <c r="P218" s="108">
        <v>0</v>
      </c>
      <c r="Q218" s="166">
        <f>P218*L218</f>
        <v>0</v>
      </c>
      <c r="S218" s="143">
        <f>VLOOKUP(K218,Prices,HLOOKUP(F218,Column,2))</f>
        <v>0</v>
      </c>
      <c r="T218" s="143">
        <f>IF(S218=0,VLOOKUP(K218,FWD_Prices,HLOOKUP(F218,Column,2)),0)</f>
        <v>0</v>
      </c>
      <c r="V218" s="142">
        <f>IF(H218="Swap",S218-N218,IF(H218="Call",MAX(S218-N218,0),IF(H218="Put",MAX(N218-S218,0),"Error on Structure")))
* IF(G218="Buy",1,IF(G218="Sell",-1,"Error on Buy/Sell"))
* L218
* IF(S218=0,0,1)</f>
        <v>0</v>
      </c>
      <c r="W218" s="142">
        <f>IF(H218="Swap",T218-N218,IF(H218="Call",MAX(T218-N218,0),IF(H218="Put",MAX(N218-T218,0),"Error on Structure")))
* IF(G218="Buy",1,IF(G218="Sell",-1,"Error on Buy/Sell"))
* L218
* IF(T218=0,0,1)</f>
        <v>0</v>
      </c>
      <c r="X218" s="144">
        <f>SUM(V218:W218)</f>
        <v>0</v>
      </c>
      <c r="AA218" s="41" t="s">
        <v>206</v>
      </c>
      <c r="AC218" s="91" t="s">
        <v>202</v>
      </c>
      <c r="AD218" s="41" t="s">
        <v>296</v>
      </c>
    </row>
  </sheetData>
  <autoFilter ref="A1:AD218"/>
  <phoneticPr fontId="0" type="noConversion"/>
  <pageMargins left="0.25" right="0.25" top="1" bottom="1" header="0.5" footer="0.5"/>
  <pageSetup paperSize="5" scale="49" fitToHeight="6" orientation="landscape" r:id="rId1"/>
  <headerFooter alignWithMargins="0">
    <oddFooter>&amp;L&amp;D       &amp;T       &amp;A&amp;CPage &amp;P of &amp;N&amp;RO:\TransAcctgptg\2001 Reporting\Originations\&amp;F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6"/>
  <sheetViews>
    <sheetView topLeftCell="A120" workbookViewId="0">
      <selection activeCell="L65" sqref="L65"/>
    </sheetView>
  </sheetViews>
  <sheetFormatPr defaultRowHeight="12.75" x14ac:dyDescent="0.2"/>
  <cols>
    <col min="1" max="1" width="4" customWidth="1"/>
    <col min="2" max="2" width="11.42578125" customWidth="1"/>
    <col min="3" max="3" width="2.7109375" customWidth="1"/>
    <col min="4" max="4" width="34.28515625" bestFit="1" customWidth="1"/>
    <col min="5" max="5" width="2.85546875" customWidth="1"/>
    <col min="6" max="6" width="10.7109375" customWidth="1"/>
    <col min="7" max="7" width="2" customWidth="1"/>
    <col min="8" max="8" width="11" customWidth="1"/>
    <col min="9" max="9" width="2.5703125" customWidth="1"/>
    <col min="10" max="10" width="10.140625" style="10" customWidth="1"/>
    <col min="11" max="11" width="2.42578125" customWidth="1"/>
    <col min="12" max="12" width="12.42578125" style="10" customWidth="1"/>
    <col min="13" max="13" width="2.85546875" customWidth="1"/>
    <col min="14" max="14" width="11.7109375" customWidth="1"/>
  </cols>
  <sheetData>
    <row r="1" spans="1:14" x14ac:dyDescent="0.2">
      <c r="B1" s="54" t="s">
        <v>224</v>
      </c>
    </row>
    <row r="2" spans="1:14" x14ac:dyDescent="0.2">
      <c r="B2" s="54" t="str">
        <f ca="1">CELL("FILENAME")</f>
        <v>O:\TransAcctg&amp;Rptg\Susan\MEXICO\2001 Reporting\Originations\[Trading Margin 2001.xls]2001 Summary</v>
      </c>
    </row>
    <row r="4" spans="1:14" x14ac:dyDescent="0.2">
      <c r="B4" s="52"/>
      <c r="C4" s="52"/>
      <c r="D4" s="52"/>
      <c r="E4" s="52"/>
      <c r="F4" s="52" t="s">
        <v>6</v>
      </c>
      <c r="G4" s="52"/>
      <c r="H4" s="52" t="s">
        <v>226</v>
      </c>
      <c r="I4" s="52"/>
      <c r="J4" s="52" t="s">
        <v>227</v>
      </c>
      <c r="K4" s="52"/>
      <c r="L4" s="52"/>
      <c r="M4" s="52"/>
      <c r="N4" s="52"/>
    </row>
    <row r="5" spans="1:14" ht="13.5" thickBot="1" x14ac:dyDescent="0.25">
      <c r="B5" s="68" t="s">
        <v>0</v>
      </c>
      <c r="C5" s="68"/>
      <c r="D5" s="68" t="s">
        <v>225</v>
      </c>
      <c r="E5" s="68"/>
      <c r="F5" s="68" t="s">
        <v>25</v>
      </c>
      <c r="G5" s="68"/>
      <c r="H5" s="68" t="s">
        <v>8</v>
      </c>
      <c r="I5" s="68"/>
      <c r="J5" s="68" t="s">
        <v>228</v>
      </c>
      <c r="K5" s="68"/>
      <c r="L5" s="68" t="s">
        <v>229</v>
      </c>
      <c r="M5" s="68"/>
      <c r="N5" s="68" t="s">
        <v>230</v>
      </c>
    </row>
    <row r="6" spans="1:14" x14ac:dyDescent="0.2">
      <c r="A6">
        <v>1</v>
      </c>
      <c r="B6" s="69">
        <v>36684</v>
      </c>
      <c r="D6" t="s">
        <v>13</v>
      </c>
      <c r="F6" s="70">
        <f>754162*9</f>
        <v>6787458</v>
      </c>
      <c r="H6" s="71">
        <f>2337.9*9</f>
        <v>21041.100000000002</v>
      </c>
      <c r="J6" s="72">
        <v>20466</v>
      </c>
      <c r="L6" s="78">
        <f>J6-H6</f>
        <v>-575.10000000000218</v>
      </c>
      <c r="N6" t="s">
        <v>233</v>
      </c>
    </row>
    <row r="7" spans="1:14" x14ac:dyDescent="0.2">
      <c r="B7" s="79" t="s">
        <v>273</v>
      </c>
      <c r="F7" s="73">
        <f>SUM(F6)</f>
        <v>6787458</v>
      </c>
      <c r="G7" s="74"/>
      <c r="H7" s="75">
        <f>SUM(H6)</f>
        <v>21041.100000000002</v>
      </c>
      <c r="I7" s="74"/>
      <c r="J7" s="76">
        <f>SUM(J6)</f>
        <v>20466</v>
      </c>
      <c r="K7" s="74"/>
      <c r="L7" s="76">
        <f>SUM(L6)</f>
        <v>-575.10000000000218</v>
      </c>
    </row>
    <row r="8" spans="1:14" x14ac:dyDescent="0.2">
      <c r="F8" s="70"/>
      <c r="H8" s="71"/>
      <c r="J8" s="72"/>
      <c r="L8" s="78"/>
      <c r="M8" s="70"/>
    </row>
    <row r="9" spans="1:14" x14ac:dyDescent="0.2">
      <c r="A9">
        <v>2</v>
      </c>
      <c r="B9" s="69">
        <v>36720</v>
      </c>
      <c r="D9" t="s">
        <v>231</v>
      </c>
      <c r="F9" s="70">
        <f>828140*8</f>
        <v>6625120</v>
      </c>
      <c r="H9" s="71">
        <f>14989.33*8</f>
        <v>119914.64</v>
      </c>
      <c r="J9" s="72">
        <v>115940</v>
      </c>
      <c r="L9" s="78">
        <f>J9-H9</f>
        <v>-3974.6399999999994</v>
      </c>
      <c r="M9" s="70"/>
      <c r="N9" t="s">
        <v>232</v>
      </c>
    </row>
    <row r="10" spans="1:14" x14ac:dyDescent="0.2">
      <c r="B10" s="79" t="s">
        <v>272</v>
      </c>
      <c r="F10" s="76">
        <f>SUM(F9)</f>
        <v>6625120</v>
      </c>
      <c r="G10" s="77"/>
      <c r="H10" s="76">
        <f>SUM(H9)</f>
        <v>119914.64</v>
      </c>
      <c r="I10" s="77"/>
      <c r="J10" s="76">
        <f>SUM(J9)</f>
        <v>115940</v>
      </c>
      <c r="K10" s="77"/>
      <c r="L10" s="76">
        <f>SUM(L9)</f>
        <v>-3974.6399999999994</v>
      </c>
      <c r="M10" s="70"/>
    </row>
    <row r="11" spans="1:14" x14ac:dyDescent="0.2">
      <c r="F11" s="70"/>
      <c r="H11" s="71"/>
      <c r="J11" s="72"/>
      <c r="L11" s="78"/>
      <c r="M11" s="70"/>
    </row>
    <row r="12" spans="1:14" x14ac:dyDescent="0.2">
      <c r="A12">
        <v>3</v>
      </c>
      <c r="B12" s="69">
        <v>36754</v>
      </c>
      <c r="D12" t="s">
        <v>235</v>
      </c>
      <c r="F12" s="70">
        <f>151700*6</f>
        <v>910200</v>
      </c>
      <c r="H12" s="71">
        <f>758.5*6</f>
        <v>4551</v>
      </c>
      <c r="J12" s="72">
        <f>758.5*6</f>
        <v>4551</v>
      </c>
      <c r="L12" s="78"/>
      <c r="M12" s="70"/>
      <c r="N12" t="s">
        <v>234</v>
      </c>
    </row>
    <row r="13" spans="1:14" x14ac:dyDescent="0.2">
      <c r="A13">
        <v>4</v>
      </c>
      <c r="B13" s="69">
        <v>36754</v>
      </c>
      <c r="D13" t="s">
        <v>35</v>
      </c>
      <c r="F13" s="70">
        <f>40700*6</f>
        <v>244200</v>
      </c>
      <c r="H13" s="71">
        <f>203.5*6</f>
        <v>1221</v>
      </c>
      <c r="J13" s="72">
        <v>1221</v>
      </c>
      <c r="L13" s="78"/>
      <c r="M13" s="70"/>
      <c r="N13" t="s">
        <v>234</v>
      </c>
    </row>
    <row r="14" spans="1:14" x14ac:dyDescent="0.2">
      <c r="B14" s="69"/>
      <c r="F14" s="70"/>
      <c r="H14" s="71"/>
      <c r="J14" s="72"/>
      <c r="L14" s="78"/>
      <c r="M14" s="70"/>
    </row>
    <row r="15" spans="1:14" x14ac:dyDescent="0.2">
      <c r="A15">
        <v>5</v>
      </c>
      <c r="B15" s="69">
        <v>36760</v>
      </c>
      <c r="D15" t="s">
        <v>42</v>
      </c>
      <c r="F15" s="70">
        <f>30000*6</f>
        <v>180000</v>
      </c>
      <c r="H15" s="71">
        <f>150*6</f>
        <v>900</v>
      </c>
      <c r="J15" s="72">
        <v>6000</v>
      </c>
      <c r="L15" s="78">
        <f>SUM(H15:H19)-J15</f>
        <v>0</v>
      </c>
      <c r="M15" s="70"/>
      <c r="N15" t="s">
        <v>234</v>
      </c>
    </row>
    <row r="16" spans="1:14" x14ac:dyDescent="0.2">
      <c r="A16">
        <v>6</v>
      </c>
      <c r="B16" s="69">
        <v>36760</v>
      </c>
      <c r="D16" t="s">
        <v>236</v>
      </c>
      <c r="F16" s="70">
        <f>(50000*6)+(30000*3)</f>
        <v>390000</v>
      </c>
      <c r="H16" s="71">
        <f>(500*6)+(300*3)</f>
        <v>3900</v>
      </c>
      <c r="J16" s="72" t="s">
        <v>241</v>
      </c>
      <c r="L16" s="78"/>
      <c r="M16" s="70"/>
      <c r="N16" t="s">
        <v>237</v>
      </c>
    </row>
    <row r="17" spans="1:14" x14ac:dyDescent="0.2">
      <c r="A17">
        <v>7</v>
      </c>
      <c r="B17" s="69">
        <v>36760</v>
      </c>
      <c r="D17" t="s">
        <v>46</v>
      </c>
      <c r="F17" s="70">
        <f>20000*6</f>
        <v>120000</v>
      </c>
      <c r="H17" s="71">
        <f>100*6</f>
        <v>600</v>
      </c>
      <c r="J17" s="72" t="s">
        <v>241</v>
      </c>
      <c r="L17" s="78"/>
      <c r="M17" s="70"/>
      <c r="N17" t="s">
        <v>234</v>
      </c>
    </row>
    <row r="18" spans="1:14" x14ac:dyDescent="0.2">
      <c r="A18">
        <v>8</v>
      </c>
      <c r="B18" s="69">
        <v>36760</v>
      </c>
      <c r="D18" t="s">
        <v>48</v>
      </c>
      <c r="F18" s="70">
        <f>10000*6</f>
        <v>60000</v>
      </c>
      <c r="H18" s="71">
        <f>50*6</f>
        <v>300</v>
      </c>
      <c r="J18" s="72" t="s">
        <v>241</v>
      </c>
      <c r="L18" s="78"/>
      <c r="M18" s="70"/>
      <c r="N18" t="s">
        <v>234</v>
      </c>
    </row>
    <row r="19" spans="1:14" x14ac:dyDescent="0.2">
      <c r="A19">
        <v>9</v>
      </c>
      <c r="B19" s="69">
        <v>36760</v>
      </c>
      <c r="D19" t="s">
        <v>238</v>
      </c>
      <c r="F19" s="70">
        <f>10000*6</f>
        <v>60000</v>
      </c>
      <c r="H19" s="71">
        <f>50*6</f>
        <v>300</v>
      </c>
      <c r="J19" s="72" t="s">
        <v>241</v>
      </c>
      <c r="M19" s="70"/>
      <c r="N19" t="s">
        <v>234</v>
      </c>
    </row>
    <row r="20" spans="1:14" x14ac:dyDescent="0.2">
      <c r="B20" s="69"/>
      <c r="F20" s="70"/>
      <c r="H20" s="71"/>
      <c r="J20" s="72"/>
      <c r="L20" s="78"/>
      <c r="M20" s="70"/>
    </row>
    <row r="21" spans="1:14" x14ac:dyDescent="0.2">
      <c r="A21">
        <v>10</v>
      </c>
      <c r="B21" s="69">
        <v>36761</v>
      </c>
      <c r="D21" t="s">
        <v>17</v>
      </c>
      <c r="F21" s="70">
        <f>10000*6</f>
        <v>60000</v>
      </c>
      <c r="H21" s="71">
        <f>50*6</f>
        <v>300</v>
      </c>
      <c r="J21" s="72">
        <v>300</v>
      </c>
      <c r="L21" s="78">
        <f>J21-H21</f>
        <v>0</v>
      </c>
      <c r="M21" s="70"/>
      <c r="N21" t="s">
        <v>234</v>
      </c>
    </row>
    <row r="22" spans="1:14" x14ac:dyDescent="0.2">
      <c r="A22">
        <v>11</v>
      </c>
      <c r="B22" s="69">
        <v>36761</v>
      </c>
      <c r="D22" t="s">
        <v>17</v>
      </c>
      <c r="F22" s="70">
        <f>10000*6</f>
        <v>60000</v>
      </c>
      <c r="H22" s="71">
        <f>50*6</f>
        <v>300</v>
      </c>
      <c r="J22" s="72">
        <v>300</v>
      </c>
      <c r="L22" s="78">
        <f>J22-H22</f>
        <v>0</v>
      </c>
      <c r="M22" s="70"/>
      <c r="N22" t="s">
        <v>234</v>
      </c>
    </row>
    <row r="23" spans="1:14" x14ac:dyDescent="0.2">
      <c r="A23">
        <v>12</v>
      </c>
      <c r="B23" s="69">
        <v>36761</v>
      </c>
      <c r="D23" t="s">
        <v>17</v>
      </c>
      <c r="F23" s="70">
        <f>10000*6</f>
        <v>60000</v>
      </c>
      <c r="H23" s="71">
        <f>50*6</f>
        <v>300</v>
      </c>
      <c r="J23" s="72">
        <v>300</v>
      </c>
      <c r="L23" s="78">
        <f>J23-H23</f>
        <v>0</v>
      </c>
      <c r="M23" s="70"/>
      <c r="N23" t="s">
        <v>234</v>
      </c>
    </row>
    <row r="24" spans="1:14" x14ac:dyDescent="0.2">
      <c r="B24" s="69"/>
      <c r="F24" s="70"/>
      <c r="H24" s="71"/>
      <c r="J24" s="72"/>
      <c r="L24" s="78"/>
      <c r="M24" s="70"/>
    </row>
    <row r="25" spans="1:14" x14ac:dyDescent="0.2">
      <c r="A25">
        <v>13</v>
      </c>
      <c r="B25" s="69">
        <v>36761</v>
      </c>
      <c r="D25" t="s">
        <v>50</v>
      </c>
      <c r="F25" s="70">
        <f>6000*6</f>
        <v>36000</v>
      </c>
      <c r="H25" s="71">
        <f>30*6</f>
        <v>180</v>
      </c>
      <c r="J25" s="72">
        <v>21222</v>
      </c>
      <c r="L25" s="78">
        <f>SUM(H25:H53)*-1+J25</f>
        <v>0</v>
      </c>
      <c r="M25" s="70"/>
      <c r="N25" t="s">
        <v>234</v>
      </c>
    </row>
    <row r="26" spans="1:14" x14ac:dyDescent="0.2">
      <c r="A26">
        <v>14</v>
      </c>
      <c r="B26" s="69">
        <v>36761</v>
      </c>
      <c r="D26" t="s">
        <v>52</v>
      </c>
      <c r="F26" s="70">
        <f>800*6</f>
        <v>4800</v>
      </c>
      <c r="H26" s="71">
        <f>4*6</f>
        <v>24</v>
      </c>
      <c r="J26" s="72" t="s">
        <v>241</v>
      </c>
      <c r="L26" s="78"/>
      <c r="M26" s="70"/>
      <c r="N26" t="s">
        <v>234</v>
      </c>
    </row>
    <row r="27" spans="1:14" x14ac:dyDescent="0.2">
      <c r="A27">
        <v>15</v>
      </c>
      <c r="B27" s="69">
        <v>36761</v>
      </c>
      <c r="D27" t="s">
        <v>53</v>
      </c>
      <c r="F27" s="70">
        <f>600*6</f>
        <v>3600</v>
      </c>
      <c r="H27" s="71">
        <f>3*6</f>
        <v>18</v>
      </c>
      <c r="J27" s="72" t="s">
        <v>241</v>
      </c>
      <c r="L27" s="78"/>
      <c r="M27" s="70"/>
      <c r="N27" t="s">
        <v>234</v>
      </c>
    </row>
    <row r="28" spans="1:14" x14ac:dyDescent="0.2">
      <c r="A28">
        <v>16</v>
      </c>
      <c r="B28" s="69">
        <v>36761</v>
      </c>
      <c r="D28" t="s">
        <v>54</v>
      </c>
      <c r="F28" s="70">
        <f>20000*6</f>
        <v>120000</v>
      </c>
      <c r="H28" s="71">
        <v>0</v>
      </c>
      <c r="J28" s="72" t="s">
        <v>241</v>
      </c>
      <c r="L28" s="78"/>
      <c r="M28" s="70"/>
      <c r="N28" t="s">
        <v>239</v>
      </c>
    </row>
    <row r="29" spans="1:14" x14ac:dyDescent="0.2">
      <c r="A29">
        <v>17</v>
      </c>
      <c r="B29" s="69">
        <v>36762</v>
      </c>
      <c r="D29" t="s">
        <v>73</v>
      </c>
      <c r="F29" s="70">
        <f>250000*12</f>
        <v>3000000</v>
      </c>
      <c r="H29" s="71">
        <f>2500*6</f>
        <v>15000</v>
      </c>
      <c r="J29" s="72" t="s">
        <v>241</v>
      </c>
      <c r="L29" s="78"/>
      <c r="M29" s="70"/>
      <c r="N29" t="s">
        <v>240</v>
      </c>
    </row>
    <row r="30" spans="1:14" x14ac:dyDescent="0.2">
      <c r="A30">
        <v>18</v>
      </c>
      <c r="B30" s="69">
        <v>36762</v>
      </c>
      <c r="D30" s="41" t="s">
        <v>77</v>
      </c>
      <c r="F30" s="70">
        <f>6000*6</f>
        <v>36000</v>
      </c>
      <c r="H30" s="71">
        <f>30*6</f>
        <v>180</v>
      </c>
      <c r="J30" s="72" t="s">
        <v>241</v>
      </c>
      <c r="L30" s="78"/>
      <c r="M30" s="70"/>
      <c r="N30" t="s">
        <v>234</v>
      </c>
    </row>
    <row r="31" spans="1:14" x14ac:dyDescent="0.2">
      <c r="A31">
        <v>19</v>
      </c>
      <c r="B31" s="69">
        <v>36762</v>
      </c>
      <c r="D31" s="41" t="s">
        <v>78</v>
      </c>
      <c r="F31" s="70">
        <f>6000*6</f>
        <v>36000</v>
      </c>
      <c r="H31" s="71">
        <f>30*6</f>
        <v>180</v>
      </c>
      <c r="J31" s="72" t="s">
        <v>241</v>
      </c>
      <c r="L31" s="78"/>
      <c r="M31" s="70"/>
      <c r="N31" t="s">
        <v>234</v>
      </c>
    </row>
    <row r="32" spans="1:14" x14ac:dyDescent="0.2">
      <c r="A32">
        <v>20</v>
      </c>
      <c r="B32" s="69">
        <v>36762</v>
      </c>
      <c r="D32" s="41" t="s">
        <v>79</v>
      </c>
      <c r="F32" s="70">
        <f>14000*6</f>
        <v>84000</v>
      </c>
      <c r="H32" s="71">
        <f>70*6</f>
        <v>420</v>
      </c>
      <c r="J32" s="72" t="s">
        <v>241</v>
      </c>
      <c r="L32" s="78"/>
      <c r="M32" s="70"/>
      <c r="N32" t="s">
        <v>234</v>
      </c>
    </row>
    <row r="33" spans="1:14" x14ac:dyDescent="0.2">
      <c r="A33">
        <v>21</v>
      </c>
      <c r="B33" s="69">
        <v>36762</v>
      </c>
      <c r="D33" s="41" t="s">
        <v>80</v>
      </c>
      <c r="F33" s="70">
        <f>6000*6</f>
        <v>36000</v>
      </c>
      <c r="H33" s="71">
        <f>30*6</f>
        <v>180</v>
      </c>
      <c r="J33" s="72" t="s">
        <v>241</v>
      </c>
      <c r="L33" s="78"/>
      <c r="M33" s="70"/>
      <c r="N33" t="s">
        <v>234</v>
      </c>
    </row>
    <row r="34" spans="1:14" x14ac:dyDescent="0.2">
      <c r="A34">
        <v>22</v>
      </c>
      <c r="B34" s="69">
        <v>36762</v>
      </c>
      <c r="D34" s="41" t="s">
        <v>81</v>
      </c>
      <c r="F34" s="70">
        <f>14000*6</f>
        <v>84000</v>
      </c>
      <c r="H34" s="71">
        <f>70*6</f>
        <v>420</v>
      </c>
      <c r="J34" s="72" t="s">
        <v>241</v>
      </c>
      <c r="L34" s="78"/>
      <c r="M34" s="70"/>
      <c r="N34" t="s">
        <v>234</v>
      </c>
    </row>
    <row r="35" spans="1:14" x14ac:dyDescent="0.2">
      <c r="A35">
        <v>23</v>
      </c>
      <c r="B35" s="69">
        <v>36762</v>
      </c>
      <c r="D35" s="41" t="s">
        <v>82</v>
      </c>
      <c r="F35" s="70">
        <f>4000*6</f>
        <v>24000</v>
      </c>
      <c r="H35" s="71">
        <f>20*6</f>
        <v>120</v>
      </c>
      <c r="J35" s="72" t="s">
        <v>241</v>
      </c>
      <c r="L35" s="78"/>
      <c r="M35" s="70"/>
      <c r="N35" t="s">
        <v>234</v>
      </c>
    </row>
    <row r="36" spans="1:14" x14ac:dyDescent="0.2">
      <c r="A36">
        <v>24</v>
      </c>
      <c r="B36" s="69">
        <v>36762</v>
      </c>
      <c r="D36" s="41" t="s">
        <v>83</v>
      </c>
      <c r="F36" s="70">
        <f>10000*6</f>
        <v>60000</v>
      </c>
      <c r="H36" s="71">
        <f>50*6</f>
        <v>300</v>
      </c>
      <c r="J36" s="72" t="s">
        <v>241</v>
      </c>
      <c r="L36" s="78"/>
      <c r="M36" s="70"/>
      <c r="N36" t="s">
        <v>234</v>
      </c>
    </row>
    <row r="37" spans="1:14" x14ac:dyDescent="0.2">
      <c r="A37">
        <v>25</v>
      </c>
      <c r="B37" s="69">
        <v>36762</v>
      </c>
      <c r="D37" s="41" t="s">
        <v>84</v>
      </c>
      <c r="F37" s="70">
        <f>7000*6</f>
        <v>42000</v>
      </c>
      <c r="H37" s="71">
        <f>35*6</f>
        <v>210</v>
      </c>
      <c r="J37" s="72" t="s">
        <v>241</v>
      </c>
      <c r="L37" s="78"/>
      <c r="M37" s="70"/>
      <c r="N37" t="s">
        <v>234</v>
      </c>
    </row>
    <row r="38" spans="1:14" x14ac:dyDescent="0.2">
      <c r="A38">
        <v>26</v>
      </c>
      <c r="B38" s="69">
        <v>36762</v>
      </c>
      <c r="D38" s="41" t="s">
        <v>85</v>
      </c>
      <c r="F38" s="70">
        <f>6000*6</f>
        <v>36000</v>
      </c>
      <c r="H38" s="71">
        <f>30*6</f>
        <v>180</v>
      </c>
      <c r="J38" s="72" t="s">
        <v>241</v>
      </c>
      <c r="L38" s="78"/>
      <c r="M38" s="70"/>
      <c r="N38" t="s">
        <v>234</v>
      </c>
    </row>
    <row r="39" spans="1:14" x14ac:dyDescent="0.2">
      <c r="A39">
        <v>27</v>
      </c>
      <c r="B39" s="69">
        <v>36762</v>
      </c>
      <c r="D39" s="41" t="s">
        <v>86</v>
      </c>
      <c r="F39" s="70">
        <f>13000*6</f>
        <v>78000</v>
      </c>
      <c r="H39" s="71">
        <f>65*6</f>
        <v>390</v>
      </c>
      <c r="J39" s="72" t="s">
        <v>241</v>
      </c>
      <c r="L39" s="78"/>
      <c r="M39" s="70"/>
      <c r="N39" t="s">
        <v>234</v>
      </c>
    </row>
    <row r="40" spans="1:14" x14ac:dyDescent="0.2">
      <c r="A40">
        <v>28</v>
      </c>
      <c r="B40" s="69">
        <v>36762</v>
      </c>
      <c r="D40" s="41" t="s">
        <v>87</v>
      </c>
      <c r="F40" s="70">
        <f>16000*6</f>
        <v>96000</v>
      </c>
      <c r="H40" s="71">
        <f>80*6</f>
        <v>480</v>
      </c>
      <c r="J40" s="72" t="s">
        <v>241</v>
      </c>
      <c r="L40" s="78"/>
      <c r="M40" s="70"/>
      <c r="N40" t="s">
        <v>234</v>
      </c>
    </row>
    <row r="41" spans="1:14" x14ac:dyDescent="0.2">
      <c r="A41">
        <v>29</v>
      </c>
      <c r="B41" s="69">
        <v>36762</v>
      </c>
      <c r="D41" s="41" t="s">
        <v>88</v>
      </c>
      <c r="F41" s="70">
        <f>6000*6</f>
        <v>36000</v>
      </c>
      <c r="H41" s="71">
        <f>30*6</f>
        <v>180</v>
      </c>
      <c r="J41" s="72" t="s">
        <v>241</v>
      </c>
      <c r="L41" s="78"/>
      <c r="M41" s="70"/>
      <c r="N41" t="s">
        <v>234</v>
      </c>
    </row>
    <row r="42" spans="1:14" x14ac:dyDescent="0.2">
      <c r="A42">
        <v>30</v>
      </c>
      <c r="B42" s="69">
        <v>36762</v>
      </c>
      <c r="D42" s="41" t="s">
        <v>89</v>
      </c>
      <c r="F42" s="70">
        <f>1000*6</f>
        <v>6000</v>
      </c>
      <c r="H42" s="71">
        <f>5*6</f>
        <v>30</v>
      </c>
      <c r="J42" s="72" t="s">
        <v>241</v>
      </c>
      <c r="L42" s="78"/>
      <c r="M42" s="70"/>
      <c r="N42" t="s">
        <v>234</v>
      </c>
    </row>
    <row r="43" spans="1:14" x14ac:dyDescent="0.2">
      <c r="A43">
        <v>31</v>
      </c>
      <c r="B43" s="69">
        <v>36762</v>
      </c>
      <c r="D43" s="41" t="s">
        <v>90</v>
      </c>
      <c r="F43" s="70">
        <f>10000*6</f>
        <v>60000</v>
      </c>
      <c r="H43" s="71">
        <f>50*6</f>
        <v>300</v>
      </c>
      <c r="J43" s="72" t="s">
        <v>241</v>
      </c>
      <c r="L43" s="78"/>
      <c r="M43" s="70"/>
      <c r="N43" t="s">
        <v>234</v>
      </c>
    </row>
    <row r="44" spans="1:14" x14ac:dyDescent="0.2">
      <c r="A44">
        <v>32</v>
      </c>
      <c r="B44" s="69">
        <v>36762</v>
      </c>
      <c r="D44" s="41" t="s">
        <v>91</v>
      </c>
      <c r="F44" s="70">
        <f>3000*6</f>
        <v>18000</v>
      </c>
      <c r="H44" s="71">
        <f>15*6</f>
        <v>90</v>
      </c>
      <c r="J44" s="72" t="s">
        <v>241</v>
      </c>
      <c r="L44" s="78"/>
      <c r="M44" s="70"/>
      <c r="N44" t="s">
        <v>234</v>
      </c>
    </row>
    <row r="45" spans="1:14" x14ac:dyDescent="0.2">
      <c r="A45">
        <v>33</v>
      </c>
      <c r="B45" s="69">
        <v>36762</v>
      </c>
      <c r="D45" s="41" t="s">
        <v>92</v>
      </c>
      <c r="F45" s="70">
        <f>6000*6</f>
        <v>36000</v>
      </c>
      <c r="H45" s="71">
        <f>30*6</f>
        <v>180</v>
      </c>
      <c r="J45" s="72" t="s">
        <v>241</v>
      </c>
      <c r="L45" s="78"/>
      <c r="M45" s="70"/>
      <c r="N45" t="s">
        <v>234</v>
      </c>
    </row>
    <row r="46" spans="1:14" x14ac:dyDescent="0.2">
      <c r="A46">
        <v>34</v>
      </c>
      <c r="B46" s="69">
        <v>36762</v>
      </c>
      <c r="D46" s="41" t="s">
        <v>93</v>
      </c>
      <c r="F46" s="70">
        <f>8000*6</f>
        <v>48000</v>
      </c>
      <c r="H46" s="71">
        <f>40*6</f>
        <v>240</v>
      </c>
      <c r="J46" s="72" t="s">
        <v>241</v>
      </c>
      <c r="L46" s="78"/>
      <c r="M46" s="70"/>
      <c r="N46" t="s">
        <v>234</v>
      </c>
    </row>
    <row r="47" spans="1:14" x14ac:dyDescent="0.2">
      <c r="A47">
        <v>35</v>
      </c>
      <c r="B47" s="69">
        <v>36762</v>
      </c>
      <c r="D47" s="41" t="s">
        <v>94</v>
      </c>
      <c r="F47" s="70">
        <f>2000*6</f>
        <v>12000</v>
      </c>
      <c r="H47" s="71">
        <f>10*6</f>
        <v>60</v>
      </c>
      <c r="J47" s="72" t="s">
        <v>241</v>
      </c>
      <c r="L47" s="78"/>
      <c r="M47" s="70"/>
      <c r="N47" t="s">
        <v>234</v>
      </c>
    </row>
    <row r="48" spans="1:14" x14ac:dyDescent="0.2">
      <c r="A48">
        <v>36</v>
      </c>
      <c r="B48" s="69">
        <v>36762</v>
      </c>
      <c r="D48" s="41" t="s">
        <v>95</v>
      </c>
      <c r="F48" s="70">
        <f>4000*6</f>
        <v>24000</v>
      </c>
      <c r="H48" s="71">
        <f>20*6</f>
        <v>120</v>
      </c>
      <c r="J48" s="72" t="s">
        <v>241</v>
      </c>
      <c r="L48" s="78"/>
      <c r="M48" s="70"/>
      <c r="N48" t="s">
        <v>234</v>
      </c>
    </row>
    <row r="49" spans="1:14" x14ac:dyDescent="0.2">
      <c r="A49">
        <v>37</v>
      </c>
      <c r="B49" s="69">
        <v>36762</v>
      </c>
      <c r="D49" s="41" t="s">
        <v>96</v>
      </c>
      <c r="F49" s="70">
        <f>4000*6</f>
        <v>24000</v>
      </c>
      <c r="H49" s="71">
        <f>20*6</f>
        <v>120</v>
      </c>
      <c r="J49" s="72" t="s">
        <v>241</v>
      </c>
      <c r="L49" s="78"/>
      <c r="M49" s="70"/>
      <c r="N49" t="s">
        <v>234</v>
      </c>
    </row>
    <row r="50" spans="1:14" x14ac:dyDescent="0.2">
      <c r="A50">
        <v>38</v>
      </c>
      <c r="B50" s="69">
        <v>36762</v>
      </c>
      <c r="D50" s="41" t="s">
        <v>97</v>
      </c>
      <c r="F50" s="70">
        <f>38000*6</f>
        <v>228000</v>
      </c>
      <c r="H50" s="71">
        <f>190*6</f>
        <v>1140</v>
      </c>
      <c r="J50" s="72" t="s">
        <v>241</v>
      </c>
      <c r="L50" s="78"/>
      <c r="M50" s="70"/>
      <c r="N50" t="s">
        <v>234</v>
      </c>
    </row>
    <row r="51" spans="1:14" x14ac:dyDescent="0.2">
      <c r="A51">
        <v>39</v>
      </c>
      <c r="B51" s="69">
        <v>36762</v>
      </c>
      <c r="D51" s="41" t="s">
        <v>98</v>
      </c>
      <c r="F51" s="70">
        <f>6000*6</f>
        <v>36000</v>
      </c>
      <c r="H51" s="71">
        <f>30*6</f>
        <v>180</v>
      </c>
      <c r="J51" s="72" t="s">
        <v>241</v>
      </c>
      <c r="L51" s="78"/>
      <c r="M51" s="70"/>
      <c r="N51" t="s">
        <v>234</v>
      </c>
    </row>
    <row r="52" spans="1:14" x14ac:dyDescent="0.2">
      <c r="A52">
        <v>40</v>
      </c>
      <c r="B52" s="69">
        <v>36762</v>
      </c>
      <c r="D52" s="41" t="s">
        <v>99</v>
      </c>
      <c r="F52" s="70">
        <f>10000*6</f>
        <v>60000</v>
      </c>
      <c r="H52" s="71">
        <f>50*6</f>
        <v>300</v>
      </c>
      <c r="J52" s="72" t="s">
        <v>241</v>
      </c>
      <c r="L52" s="78"/>
      <c r="M52" s="70"/>
      <c r="N52" t="s">
        <v>234</v>
      </c>
    </row>
    <row r="53" spans="1:14" x14ac:dyDescent="0.2">
      <c r="A53">
        <v>41</v>
      </c>
      <c r="B53" s="69">
        <v>36762</v>
      </c>
      <c r="D53" s="41" t="s">
        <v>100</v>
      </c>
      <c r="F53" s="70">
        <f>40000*6</f>
        <v>240000</v>
      </c>
      <c r="H53" s="71">
        <v>0</v>
      </c>
      <c r="J53" s="72" t="s">
        <v>241</v>
      </c>
      <c r="M53" s="70"/>
      <c r="N53" t="s">
        <v>234</v>
      </c>
    </row>
    <row r="54" spans="1:14" x14ac:dyDescent="0.2">
      <c r="D54" s="54"/>
      <c r="F54" s="70"/>
      <c r="H54" s="71"/>
      <c r="J54" s="72"/>
      <c r="L54" s="78"/>
      <c r="M54" s="70"/>
    </row>
    <row r="55" spans="1:14" x14ac:dyDescent="0.2">
      <c r="A55">
        <v>42</v>
      </c>
      <c r="B55" s="69">
        <v>36763</v>
      </c>
      <c r="D55" t="s">
        <v>109</v>
      </c>
      <c r="F55" s="70">
        <f>45000*6</f>
        <v>270000</v>
      </c>
      <c r="H55" s="71">
        <f>450*6</f>
        <v>2700</v>
      </c>
      <c r="J55" s="72">
        <v>4500</v>
      </c>
      <c r="L55" s="78">
        <f>SUM(H55:H56)-J55</f>
        <v>0</v>
      </c>
      <c r="M55" s="70"/>
      <c r="N55" t="s">
        <v>234</v>
      </c>
    </row>
    <row r="56" spans="1:14" x14ac:dyDescent="0.2">
      <c r="A56">
        <v>43</v>
      </c>
      <c r="B56" s="69">
        <v>36763</v>
      </c>
      <c r="D56" t="s">
        <v>111</v>
      </c>
      <c r="F56" s="70">
        <f>30000*6</f>
        <v>180000</v>
      </c>
      <c r="H56" s="71">
        <f>300*6</f>
        <v>1800</v>
      </c>
      <c r="J56" s="72" t="s">
        <v>241</v>
      </c>
      <c r="L56" s="78"/>
      <c r="M56" s="70"/>
      <c r="N56" t="s">
        <v>242</v>
      </c>
    </row>
    <row r="57" spans="1:14" x14ac:dyDescent="0.2">
      <c r="A57">
        <v>44</v>
      </c>
      <c r="B57" s="69">
        <v>36763</v>
      </c>
      <c r="D57" t="s">
        <v>115</v>
      </c>
      <c r="F57" s="70">
        <f>8000*6</f>
        <v>48000</v>
      </c>
      <c r="H57" s="71">
        <f>0</f>
        <v>0</v>
      </c>
      <c r="J57" s="72" t="s">
        <v>241</v>
      </c>
      <c r="L57" s="78"/>
      <c r="M57" s="70"/>
      <c r="N57" t="s">
        <v>234</v>
      </c>
    </row>
    <row r="58" spans="1:14" x14ac:dyDescent="0.2">
      <c r="A58">
        <v>45</v>
      </c>
      <c r="B58" s="69">
        <v>36763</v>
      </c>
      <c r="D58" t="s">
        <v>117</v>
      </c>
      <c r="F58" s="70">
        <f>1000*6</f>
        <v>6000</v>
      </c>
      <c r="H58" s="71">
        <v>0</v>
      </c>
      <c r="J58" s="72" t="s">
        <v>241</v>
      </c>
      <c r="L58" s="78"/>
      <c r="M58" s="70"/>
      <c r="N58" t="s">
        <v>234</v>
      </c>
    </row>
    <row r="59" spans="1:14" x14ac:dyDescent="0.2">
      <c r="A59">
        <v>46</v>
      </c>
      <c r="B59" s="69">
        <v>36763</v>
      </c>
      <c r="D59" t="s">
        <v>118</v>
      </c>
      <c r="F59" s="70">
        <f>1000*6</f>
        <v>6000</v>
      </c>
      <c r="H59" s="71">
        <v>0</v>
      </c>
      <c r="J59" s="72" t="s">
        <v>241</v>
      </c>
      <c r="L59" s="78"/>
      <c r="M59" s="70"/>
      <c r="N59" t="s">
        <v>234</v>
      </c>
    </row>
    <row r="60" spans="1:14" x14ac:dyDescent="0.2">
      <c r="A60">
        <v>47</v>
      </c>
      <c r="B60" s="69">
        <v>36763</v>
      </c>
      <c r="D60" t="s">
        <v>119</v>
      </c>
      <c r="F60" s="70">
        <f>142500*6</f>
        <v>855000</v>
      </c>
      <c r="H60" s="71">
        <v>0</v>
      </c>
      <c r="J60" s="72" t="s">
        <v>241</v>
      </c>
      <c r="L60" s="78"/>
      <c r="M60" s="70"/>
      <c r="N60" t="s">
        <v>234</v>
      </c>
    </row>
    <row r="61" spans="1:14" x14ac:dyDescent="0.2">
      <c r="A61">
        <v>48</v>
      </c>
      <c r="B61" s="69">
        <v>36763</v>
      </c>
      <c r="D61" t="s">
        <v>121</v>
      </c>
      <c r="F61" s="70">
        <f>47500*6</f>
        <v>285000</v>
      </c>
      <c r="H61" s="71">
        <v>0</v>
      </c>
      <c r="J61" s="72" t="s">
        <v>241</v>
      </c>
      <c r="L61" s="78"/>
      <c r="M61" s="70"/>
      <c r="N61" t="s">
        <v>234</v>
      </c>
    </row>
    <row r="62" spans="1:14" x14ac:dyDescent="0.2">
      <c r="B62" s="69"/>
      <c r="F62" s="70"/>
      <c r="H62" s="71"/>
      <c r="J62" s="72"/>
      <c r="L62" s="78"/>
      <c r="M62" s="70"/>
    </row>
    <row r="63" spans="1:14" x14ac:dyDescent="0.2">
      <c r="A63">
        <v>49</v>
      </c>
      <c r="B63" s="69">
        <v>36763</v>
      </c>
      <c r="D63" t="s">
        <v>54</v>
      </c>
      <c r="F63" s="70">
        <f>180000+200000+220000+260000+270000+250000</f>
        <v>1380000</v>
      </c>
      <c r="H63" s="71">
        <f>1044+1160+1276+1508+1566+1450</f>
        <v>8004</v>
      </c>
      <c r="J63" s="72">
        <v>7874</v>
      </c>
      <c r="L63" s="78">
        <f>J63-H63</f>
        <v>-130</v>
      </c>
      <c r="M63" s="70"/>
      <c r="N63" t="s">
        <v>243</v>
      </c>
    </row>
    <row r="64" spans="1:14" x14ac:dyDescent="0.2">
      <c r="A64">
        <v>50</v>
      </c>
      <c r="B64" s="69">
        <v>36763</v>
      </c>
      <c r="D64" t="s">
        <v>122</v>
      </c>
      <c r="F64" s="70">
        <f>20000+20000+20000+20000+40000+30000</f>
        <v>150000</v>
      </c>
      <c r="H64" s="71">
        <f>110+110+110+110+220+165</f>
        <v>825</v>
      </c>
      <c r="J64" s="72">
        <v>811</v>
      </c>
      <c r="L64" s="78">
        <f>J64-H64</f>
        <v>-14</v>
      </c>
      <c r="M64" s="70"/>
      <c r="N64" t="s">
        <v>243</v>
      </c>
    </row>
    <row r="65" spans="1:14" x14ac:dyDescent="0.2">
      <c r="F65" s="70"/>
      <c r="H65" s="71"/>
      <c r="J65" s="72"/>
      <c r="L65" s="78"/>
      <c r="M65" s="70"/>
    </row>
    <row r="66" spans="1:14" x14ac:dyDescent="0.2">
      <c r="A66">
        <v>51</v>
      </c>
      <c r="B66" s="69">
        <v>36766</v>
      </c>
      <c r="D66" s="41" t="s">
        <v>131</v>
      </c>
      <c r="F66" s="70">
        <f>130000*6</f>
        <v>780000</v>
      </c>
      <c r="H66" s="71">
        <f>650*6</f>
        <v>3900</v>
      </c>
      <c r="J66" s="72">
        <v>10245</v>
      </c>
      <c r="L66" s="78">
        <f>SUM(H66:H68)*-1+J66</f>
        <v>0</v>
      </c>
      <c r="M66" s="70"/>
      <c r="N66" t="s">
        <v>234</v>
      </c>
    </row>
    <row r="67" spans="1:14" x14ac:dyDescent="0.2">
      <c r="A67">
        <v>52</v>
      </c>
      <c r="B67" s="69">
        <v>36766</v>
      </c>
      <c r="D67" t="s">
        <v>136</v>
      </c>
      <c r="F67" s="70">
        <f>47000*6</f>
        <v>282000</v>
      </c>
      <c r="H67" s="71">
        <f>470*6</f>
        <v>2820</v>
      </c>
      <c r="J67" s="72" t="s">
        <v>241</v>
      </c>
      <c r="L67" s="78"/>
      <c r="M67" s="70"/>
      <c r="N67" t="s">
        <v>234</v>
      </c>
    </row>
    <row r="68" spans="1:14" x14ac:dyDescent="0.2">
      <c r="A68">
        <v>53</v>
      </c>
      <c r="B68" s="69">
        <v>36766</v>
      </c>
      <c r="D68" t="s">
        <v>136</v>
      </c>
      <c r="F68" s="70">
        <f>23500*6</f>
        <v>141000</v>
      </c>
      <c r="H68" s="71">
        <f>587.5*6</f>
        <v>3525</v>
      </c>
      <c r="J68" s="72" t="s">
        <v>241</v>
      </c>
      <c r="L68" s="78"/>
      <c r="M68" s="70"/>
      <c r="N68" t="s">
        <v>242</v>
      </c>
    </row>
    <row r="69" spans="1:14" x14ac:dyDescent="0.2">
      <c r="F69" s="70"/>
      <c r="H69" s="71"/>
      <c r="J69" s="72"/>
      <c r="L69" s="78"/>
      <c r="M69" s="70"/>
    </row>
    <row r="70" spans="1:14" x14ac:dyDescent="0.2">
      <c r="A70">
        <v>54</v>
      </c>
      <c r="B70" s="69">
        <v>36766</v>
      </c>
      <c r="D70" t="s">
        <v>136</v>
      </c>
      <c r="F70" s="70">
        <f>23500*6</f>
        <v>141000</v>
      </c>
      <c r="H70" s="71">
        <f>235*6</f>
        <v>1410</v>
      </c>
      <c r="J70" s="72">
        <v>1390</v>
      </c>
      <c r="L70" s="78">
        <f>J70-H70</f>
        <v>-20</v>
      </c>
      <c r="M70" s="70"/>
      <c r="N70" t="s">
        <v>243</v>
      </c>
    </row>
    <row r="71" spans="1:14" x14ac:dyDescent="0.2">
      <c r="A71">
        <v>55</v>
      </c>
      <c r="B71" s="69">
        <v>36766</v>
      </c>
      <c r="D71" t="s">
        <v>133</v>
      </c>
      <c r="F71" s="70">
        <f>20000*6</f>
        <v>120000</v>
      </c>
      <c r="H71" s="71">
        <f>50*6</f>
        <v>300</v>
      </c>
      <c r="J71" s="72">
        <v>0</v>
      </c>
      <c r="L71" s="78">
        <f>J71-H71</f>
        <v>-300</v>
      </c>
      <c r="M71" s="70"/>
      <c r="N71" t="s">
        <v>244</v>
      </c>
    </row>
    <row r="72" spans="1:14" x14ac:dyDescent="0.2">
      <c r="F72" s="70"/>
      <c r="H72" s="71"/>
      <c r="J72" s="72"/>
      <c r="L72" s="78"/>
      <c r="M72" s="70"/>
    </row>
    <row r="73" spans="1:14" x14ac:dyDescent="0.2">
      <c r="A73">
        <v>56</v>
      </c>
      <c r="B73" s="69">
        <v>36767</v>
      </c>
      <c r="D73" s="41" t="s">
        <v>140</v>
      </c>
      <c r="F73" s="70">
        <f>5000*6</f>
        <v>30000</v>
      </c>
      <c r="H73" s="71">
        <f>25*6</f>
        <v>150</v>
      </c>
      <c r="J73" s="72">
        <v>900</v>
      </c>
      <c r="L73" s="78">
        <f>SUM(H73:H77)*-1+J73</f>
        <v>0</v>
      </c>
      <c r="M73" s="70"/>
      <c r="N73" t="s">
        <v>234</v>
      </c>
    </row>
    <row r="74" spans="1:14" x14ac:dyDescent="0.2">
      <c r="A74">
        <v>57</v>
      </c>
      <c r="B74" s="69">
        <v>36767</v>
      </c>
      <c r="D74" s="41" t="s">
        <v>142</v>
      </c>
      <c r="F74" s="70">
        <f>5000*6</f>
        <v>30000</v>
      </c>
      <c r="H74" s="71">
        <f>25*6</f>
        <v>150</v>
      </c>
      <c r="J74" s="72" t="s">
        <v>241</v>
      </c>
      <c r="L74" s="78"/>
      <c r="M74" s="70"/>
      <c r="N74" t="s">
        <v>234</v>
      </c>
    </row>
    <row r="75" spans="1:14" x14ac:dyDescent="0.2">
      <c r="A75">
        <v>58</v>
      </c>
      <c r="B75" s="69">
        <v>36767</v>
      </c>
      <c r="D75" s="41" t="s">
        <v>143</v>
      </c>
      <c r="F75" s="70">
        <f>700*6</f>
        <v>4200</v>
      </c>
      <c r="H75" s="71">
        <f>7*6</f>
        <v>42</v>
      </c>
      <c r="J75" s="72" t="s">
        <v>241</v>
      </c>
      <c r="L75" s="78"/>
      <c r="M75" s="70"/>
      <c r="N75" t="s">
        <v>234</v>
      </c>
    </row>
    <row r="76" spans="1:14" x14ac:dyDescent="0.2">
      <c r="A76">
        <v>59</v>
      </c>
      <c r="B76" s="69">
        <v>36767</v>
      </c>
      <c r="D76" s="41" t="s">
        <v>145</v>
      </c>
      <c r="F76" s="70">
        <f>1300*6</f>
        <v>7800</v>
      </c>
      <c r="H76" s="71">
        <f>13*6</f>
        <v>78</v>
      </c>
      <c r="J76" s="72" t="s">
        <v>241</v>
      </c>
      <c r="L76" s="78"/>
      <c r="M76" s="70"/>
      <c r="N76" t="s">
        <v>234</v>
      </c>
    </row>
    <row r="77" spans="1:14" x14ac:dyDescent="0.2">
      <c r="A77">
        <v>60</v>
      </c>
      <c r="B77" s="69">
        <v>36767</v>
      </c>
      <c r="D77" s="41" t="s">
        <v>146</v>
      </c>
      <c r="F77" s="70">
        <f>8000*6</f>
        <v>48000</v>
      </c>
      <c r="H77" s="71">
        <f>80*6</f>
        <v>480</v>
      </c>
      <c r="J77" s="72" t="s">
        <v>241</v>
      </c>
      <c r="L77" s="78"/>
      <c r="M77" s="70"/>
      <c r="N77" t="s">
        <v>234</v>
      </c>
    </row>
    <row r="78" spans="1:14" x14ac:dyDescent="0.2">
      <c r="B78" s="69"/>
      <c r="D78" s="41"/>
      <c r="F78" s="70"/>
      <c r="H78" s="71"/>
      <c r="J78" s="72"/>
      <c r="L78" s="78"/>
      <c r="M78" s="70"/>
    </row>
    <row r="79" spans="1:14" x14ac:dyDescent="0.2">
      <c r="A79">
        <v>61</v>
      </c>
      <c r="B79" s="69">
        <v>36767</v>
      </c>
      <c r="D79" t="s">
        <v>54</v>
      </c>
      <c r="F79" s="70">
        <f>15450+15800+15450+15450+15200+8200+15450+15450+15450</f>
        <v>131900</v>
      </c>
      <c r="H79" s="71">
        <f>182.31+186.44+182.31+182.31+179.36+96.76+182.31+182.31+182.31</f>
        <v>1556.4199999999998</v>
      </c>
      <c r="J79" s="72">
        <v>1554</v>
      </c>
      <c r="L79" s="78">
        <f>J79-H79</f>
        <v>-2.4199999999998454</v>
      </c>
      <c r="M79" s="70"/>
      <c r="N79" t="s">
        <v>245</v>
      </c>
    </row>
    <row r="80" spans="1:14" x14ac:dyDescent="0.2">
      <c r="A80">
        <v>62</v>
      </c>
      <c r="B80" s="69">
        <v>36767</v>
      </c>
      <c r="D80" t="s">
        <v>54</v>
      </c>
      <c r="F80" s="70">
        <f>15450+15800+15450+15450+15200+8200+15450+15450+15450</f>
        <v>131900</v>
      </c>
      <c r="H80" s="71">
        <f>182.31+186.44+182.31+182.31+179.36+96.76+182.31+182.31+182.31</f>
        <v>1556.4199999999998</v>
      </c>
      <c r="J80" s="72">
        <v>1554</v>
      </c>
      <c r="L80" s="78">
        <f>J80-H80</f>
        <v>-2.4199999999998454</v>
      </c>
      <c r="M80" s="70"/>
      <c r="N80" t="s">
        <v>245</v>
      </c>
    </row>
    <row r="81" spans="1:14" x14ac:dyDescent="0.2">
      <c r="B81" s="79" t="s">
        <v>271</v>
      </c>
      <c r="F81" s="73">
        <f>SUM(F12:F80)</f>
        <v>11776600</v>
      </c>
      <c r="G81" s="74"/>
      <c r="H81" s="73">
        <f>SUM(H12:H80)</f>
        <v>63190.84</v>
      </c>
      <c r="I81" s="74"/>
      <c r="J81" s="73">
        <f>SUM(J12:J80)</f>
        <v>62722</v>
      </c>
      <c r="K81" s="74"/>
      <c r="L81" s="76">
        <f>SUM(L12:L80)</f>
        <v>-468.83999999999969</v>
      </c>
      <c r="M81" s="70"/>
    </row>
    <row r="82" spans="1:14" x14ac:dyDescent="0.2">
      <c r="F82" s="70"/>
      <c r="H82" s="71"/>
      <c r="J82" s="72"/>
      <c r="L82" s="78"/>
      <c r="M82" s="70"/>
    </row>
    <row r="83" spans="1:14" x14ac:dyDescent="0.2">
      <c r="A83">
        <v>63</v>
      </c>
      <c r="B83" s="69">
        <v>36790</v>
      </c>
      <c r="D83" t="s">
        <v>183</v>
      </c>
      <c r="F83" s="70">
        <f>165000*60</f>
        <v>9900000</v>
      </c>
      <c r="H83" s="71">
        <f>(12375*60)-400000</f>
        <v>342500</v>
      </c>
      <c r="J83" s="72">
        <v>342500</v>
      </c>
      <c r="L83" s="78">
        <f>J83-H83</f>
        <v>0</v>
      </c>
      <c r="M83" s="70"/>
      <c r="N83" t="s">
        <v>246</v>
      </c>
    </row>
    <row r="84" spans="1:14" x14ac:dyDescent="0.2">
      <c r="A84">
        <v>64</v>
      </c>
      <c r="B84" s="69">
        <v>36795</v>
      </c>
      <c r="D84" t="s">
        <v>288</v>
      </c>
      <c r="F84" s="70">
        <f>11000*12</f>
        <v>132000</v>
      </c>
      <c r="H84" s="71">
        <f>165*6</f>
        <v>990</v>
      </c>
      <c r="J84" s="72">
        <v>0</v>
      </c>
      <c r="L84" s="78">
        <f>J84-H84</f>
        <v>-990</v>
      </c>
      <c r="M84" s="70"/>
      <c r="N84" t="s">
        <v>279</v>
      </c>
    </row>
    <row r="85" spans="1:14" x14ac:dyDescent="0.2">
      <c r="B85" s="69"/>
      <c r="F85" s="70"/>
      <c r="H85" s="71"/>
      <c r="J85" s="72"/>
      <c r="L85" s="78"/>
      <c r="M85" s="70"/>
    </row>
    <row r="86" spans="1:14" x14ac:dyDescent="0.2">
      <c r="A86">
        <v>65</v>
      </c>
      <c r="B86" s="69">
        <v>36796</v>
      </c>
      <c r="D86" t="s">
        <v>115</v>
      </c>
      <c r="F86" s="70">
        <f>139000*4</f>
        <v>556000</v>
      </c>
      <c r="H86" s="71">
        <f>1737.5*4</f>
        <v>6950</v>
      </c>
      <c r="J86" s="72">
        <v>8504</v>
      </c>
      <c r="L86" s="78">
        <f>SUM(H86:H88)*-1+J86</f>
        <v>4</v>
      </c>
      <c r="M86" s="70"/>
      <c r="N86" t="s">
        <v>248</v>
      </c>
    </row>
    <row r="87" spans="1:14" x14ac:dyDescent="0.2">
      <c r="A87">
        <v>66</v>
      </c>
      <c r="B87" s="69">
        <v>36796</v>
      </c>
      <c r="D87" t="s">
        <v>117</v>
      </c>
      <c r="F87" s="70">
        <f>16000*4</f>
        <v>64000</v>
      </c>
      <c r="H87" s="71">
        <f>200*4</f>
        <v>800</v>
      </c>
      <c r="J87" s="72" t="s">
        <v>241</v>
      </c>
      <c r="L87" s="78"/>
      <c r="M87" s="70"/>
      <c r="N87" t="s">
        <v>248</v>
      </c>
    </row>
    <row r="88" spans="1:14" x14ac:dyDescent="0.2">
      <c r="A88">
        <v>67</v>
      </c>
      <c r="B88" s="69">
        <v>36796</v>
      </c>
      <c r="D88" t="s">
        <v>118</v>
      </c>
      <c r="F88" s="70">
        <f>15000*4</f>
        <v>60000</v>
      </c>
      <c r="H88" s="71">
        <f>187.5*4</f>
        <v>750</v>
      </c>
      <c r="J88" s="72" t="s">
        <v>241</v>
      </c>
      <c r="L88" s="78"/>
      <c r="M88" s="70"/>
      <c r="N88" t="s">
        <v>248</v>
      </c>
    </row>
    <row r="89" spans="1:14" x14ac:dyDescent="0.2">
      <c r="F89" s="70"/>
      <c r="H89" s="71"/>
      <c r="J89" s="72"/>
      <c r="L89" s="78"/>
      <c r="M89" s="70"/>
    </row>
    <row r="90" spans="1:14" x14ac:dyDescent="0.2">
      <c r="A90">
        <v>68</v>
      </c>
      <c r="B90" s="69">
        <v>36797</v>
      </c>
      <c r="D90" t="s">
        <v>287</v>
      </c>
      <c r="F90" s="70">
        <f>805151*6</f>
        <v>4830906</v>
      </c>
      <c r="H90" s="71">
        <f>52334.82*6</f>
        <v>314008.92</v>
      </c>
      <c r="J90" s="72">
        <v>276363</v>
      </c>
      <c r="L90" s="78">
        <f>J90-H90</f>
        <v>-37645.919999999984</v>
      </c>
      <c r="M90" s="70"/>
      <c r="N90" t="s">
        <v>280</v>
      </c>
    </row>
    <row r="91" spans="1:14" x14ac:dyDescent="0.2">
      <c r="B91" s="79" t="s">
        <v>270</v>
      </c>
      <c r="F91" s="73">
        <f>SUM(F83:F90)</f>
        <v>15542906</v>
      </c>
      <c r="G91" s="74"/>
      <c r="H91" s="73">
        <f>SUM(H83:H90)</f>
        <v>665998.91999999993</v>
      </c>
      <c r="I91" s="74"/>
      <c r="J91" s="73">
        <f>SUM(J83:J90)</f>
        <v>627367</v>
      </c>
      <c r="K91" s="74"/>
      <c r="L91" s="76">
        <f>SUM(L83:L90)</f>
        <v>-38631.919999999984</v>
      </c>
      <c r="M91" s="70"/>
    </row>
    <row r="92" spans="1:14" x14ac:dyDescent="0.2">
      <c r="F92" s="70"/>
      <c r="H92" s="71"/>
      <c r="J92" s="72"/>
      <c r="L92" s="78"/>
      <c r="M92" s="70"/>
    </row>
    <row r="93" spans="1:14" x14ac:dyDescent="0.2">
      <c r="A93">
        <v>69</v>
      </c>
      <c r="B93" s="69">
        <v>36804</v>
      </c>
      <c r="D93" t="s">
        <v>54</v>
      </c>
      <c r="F93" s="70">
        <f>640000+850000+900000+790000+740000</f>
        <v>3920000</v>
      </c>
      <c r="H93" s="71">
        <f>-28658.35-109352.66-88536.43+75334.52+208816.53</f>
        <v>57603.610000000015</v>
      </c>
      <c r="J93" s="72">
        <v>73896</v>
      </c>
      <c r="L93" s="78">
        <f>SUM(H93:H94)*-1+J93</f>
        <v>-19.550000000017462</v>
      </c>
      <c r="M93" s="70"/>
      <c r="N93" t="s">
        <v>249</v>
      </c>
    </row>
    <row r="94" spans="1:14" x14ac:dyDescent="0.2">
      <c r="A94">
        <v>70</v>
      </c>
      <c r="B94" s="69">
        <v>36804</v>
      </c>
      <c r="D94" t="s">
        <v>122</v>
      </c>
      <c r="F94" s="70">
        <f>80000+90000+160000+140000+120000</f>
        <v>590000</v>
      </c>
      <c r="H94" s="71">
        <f>-3582.29-11578.52-15739.81+13350.42+33862.14</f>
        <v>16311.939999999995</v>
      </c>
      <c r="J94" s="72" t="s">
        <v>241</v>
      </c>
      <c r="L94" s="78"/>
      <c r="M94" s="70"/>
      <c r="N94" t="s">
        <v>249</v>
      </c>
    </row>
    <row r="95" spans="1:14" x14ac:dyDescent="0.2">
      <c r="B95" s="69"/>
      <c r="F95" s="70"/>
      <c r="H95" s="71"/>
      <c r="J95" s="72"/>
      <c r="L95" s="78"/>
      <c r="M95" s="70"/>
    </row>
    <row r="96" spans="1:14" x14ac:dyDescent="0.2">
      <c r="A96">
        <v>71</v>
      </c>
      <c r="B96" s="69">
        <v>36804</v>
      </c>
      <c r="D96" t="s">
        <v>20</v>
      </c>
      <c r="F96" s="70">
        <f>60000+100000</f>
        <v>160000</v>
      </c>
      <c r="H96" s="71">
        <f>600+1000</f>
        <v>1600</v>
      </c>
      <c r="J96" s="72">
        <v>1600</v>
      </c>
      <c r="L96" s="78">
        <f>J96-H96</f>
        <v>0</v>
      </c>
      <c r="M96" s="70"/>
      <c r="N96" t="s">
        <v>251</v>
      </c>
    </row>
    <row r="97" spans="1:14" x14ac:dyDescent="0.2">
      <c r="B97" s="69"/>
      <c r="F97" s="70"/>
      <c r="H97" s="71"/>
      <c r="J97" s="72"/>
      <c r="L97" s="78"/>
      <c r="M97" s="70"/>
    </row>
    <row r="98" spans="1:14" x14ac:dyDescent="0.2">
      <c r="A98">
        <v>72</v>
      </c>
      <c r="B98" s="69">
        <v>36804</v>
      </c>
      <c r="D98" t="s">
        <v>20</v>
      </c>
      <c r="F98" s="70">
        <f>60000+60000+100000</f>
        <v>220000</v>
      </c>
      <c r="H98" s="71">
        <f>150+150+250</f>
        <v>550</v>
      </c>
      <c r="J98" s="72">
        <v>950</v>
      </c>
      <c r="L98" s="78">
        <f>SUM(H98:H99)*-1+J98</f>
        <v>300</v>
      </c>
      <c r="M98" s="70"/>
      <c r="N98" t="s">
        <v>250</v>
      </c>
    </row>
    <row r="99" spans="1:14" x14ac:dyDescent="0.2">
      <c r="A99">
        <v>73</v>
      </c>
      <c r="B99" s="69">
        <v>36805</v>
      </c>
      <c r="D99" t="s">
        <v>20</v>
      </c>
      <c r="F99" s="70">
        <v>40000</v>
      </c>
      <c r="H99" s="71">
        <v>100</v>
      </c>
      <c r="J99" s="72" t="s">
        <v>241</v>
      </c>
      <c r="L99" s="78"/>
      <c r="M99" s="70"/>
      <c r="N99" t="s">
        <v>252</v>
      </c>
    </row>
    <row r="100" spans="1:14" x14ac:dyDescent="0.2">
      <c r="B100" s="69"/>
      <c r="F100" s="70"/>
      <c r="H100" s="71"/>
      <c r="J100" s="72"/>
      <c r="L100" s="78"/>
      <c r="M100" s="70"/>
    </row>
    <row r="101" spans="1:14" x14ac:dyDescent="0.2">
      <c r="A101">
        <v>74</v>
      </c>
      <c r="B101" s="69">
        <v>36811</v>
      </c>
      <c r="D101" t="s">
        <v>212</v>
      </c>
      <c r="F101" s="70">
        <f>28000*5</f>
        <v>140000</v>
      </c>
      <c r="H101" s="71">
        <f>490*5</f>
        <v>2450</v>
      </c>
      <c r="J101" s="72">
        <v>2450</v>
      </c>
      <c r="L101" s="78">
        <f>SUM(H101:H101)*-1+J101</f>
        <v>0</v>
      </c>
      <c r="M101" s="70"/>
      <c r="N101" t="s">
        <v>249</v>
      </c>
    </row>
    <row r="102" spans="1:14" x14ac:dyDescent="0.2">
      <c r="A102">
        <v>75</v>
      </c>
      <c r="B102" s="69">
        <v>36812</v>
      </c>
      <c r="D102" t="s">
        <v>203</v>
      </c>
      <c r="F102" s="70">
        <f>18500*5</f>
        <v>92500</v>
      </c>
      <c r="H102" s="71">
        <f>370*5</f>
        <v>1850</v>
      </c>
      <c r="J102" s="72">
        <v>2775</v>
      </c>
      <c r="L102" s="78">
        <f>SUM(H102:H102)*-1+J102</f>
        <v>925</v>
      </c>
      <c r="M102" s="70"/>
      <c r="N102" t="s">
        <v>249</v>
      </c>
    </row>
    <row r="103" spans="1:14" x14ac:dyDescent="0.2">
      <c r="A103">
        <v>76</v>
      </c>
      <c r="B103" s="69">
        <v>36817</v>
      </c>
      <c r="D103" t="s">
        <v>54</v>
      </c>
      <c r="F103" s="70">
        <f>120000*5</f>
        <v>600000</v>
      </c>
      <c r="H103" s="71">
        <f>2400*5</f>
        <v>12000</v>
      </c>
      <c r="J103" s="72">
        <v>11837</v>
      </c>
      <c r="L103" s="78">
        <f>SUM(H103:H103)*-1+J103</f>
        <v>-163</v>
      </c>
      <c r="M103" s="70"/>
      <c r="N103" t="s">
        <v>249</v>
      </c>
    </row>
    <row r="104" spans="1:14" x14ac:dyDescent="0.2">
      <c r="A104">
        <v>77</v>
      </c>
      <c r="B104" s="69">
        <v>36818</v>
      </c>
      <c r="D104" t="s">
        <v>32</v>
      </c>
      <c r="F104" s="70">
        <f>75850*10</f>
        <v>758500</v>
      </c>
      <c r="H104" s="71">
        <f>3034*10</f>
        <v>30340</v>
      </c>
      <c r="J104" s="72">
        <v>30340</v>
      </c>
      <c r="L104" s="78">
        <f t="shared" ref="L104:L110" si="0">SUM(H104:H104)*-1+J104</f>
        <v>0</v>
      </c>
      <c r="M104" s="70"/>
      <c r="N104" t="s">
        <v>253</v>
      </c>
    </row>
    <row r="105" spans="1:14" x14ac:dyDescent="0.2">
      <c r="A105">
        <v>78</v>
      </c>
      <c r="B105" s="69">
        <v>36818</v>
      </c>
      <c r="D105" t="s">
        <v>35</v>
      </c>
      <c r="F105" s="70">
        <f>20350*10</f>
        <v>203500</v>
      </c>
      <c r="H105" s="71">
        <f>814*10</f>
        <v>8140</v>
      </c>
      <c r="J105" s="72">
        <v>8140</v>
      </c>
      <c r="L105" s="78">
        <f t="shared" si="0"/>
        <v>0</v>
      </c>
      <c r="M105" s="70"/>
      <c r="N105" t="s">
        <v>253</v>
      </c>
    </row>
    <row r="106" spans="1:14" x14ac:dyDescent="0.2">
      <c r="A106">
        <v>79</v>
      </c>
      <c r="B106" s="69">
        <v>36818</v>
      </c>
      <c r="D106" t="s">
        <v>13</v>
      </c>
      <c r="F106" s="70">
        <f>21081*7</f>
        <v>147567</v>
      </c>
      <c r="H106" s="71">
        <f>316.22*7</f>
        <v>2213.54</v>
      </c>
      <c r="J106" s="72">
        <v>2214</v>
      </c>
      <c r="L106" s="78">
        <f t="shared" si="0"/>
        <v>0.46000000000003638</v>
      </c>
      <c r="M106" s="70"/>
      <c r="N106" t="s">
        <v>254</v>
      </c>
    </row>
    <row r="107" spans="1:14" x14ac:dyDescent="0.2">
      <c r="A107">
        <v>80</v>
      </c>
      <c r="B107" s="69">
        <v>36818</v>
      </c>
      <c r="D107" t="s">
        <v>266</v>
      </c>
      <c r="F107" s="70">
        <f>350000+160000+150000</f>
        <v>660000</v>
      </c>
      <c r="H107" s="71">
        <f>4375+1600+1500</f>
        <v>7475</v>
      </c>
      <c r="J107" s="72">
        <v>7435</v>
      </c>
      <c r="L107" s="78">
        <f t="shared" si="0"/>
        <v>-40</v>
      </c>
      <c r="M107" s="70"/>
      <c r="N107" t="s">
        <v>250</v>
      </c>
    </row>
    <row r="108" spans="1:14" x14ac:dyDescent="0.2">
      <c r="A108">
        <v>81</v>
      </c>
      <c r="B108" s="69">
        <v>36818</v>
      </c>
      <c r="D108" t="s">
        <v>266</v>
      </c>
      <c r="F108" s="70">
        <f>200000+200000</f>
        <v>400000</v>
      </c>
      <c r="H108" s="71">
        <f>2000+2000</f>
        <v>4000</v>
      </c>
      <c r="J108" s="72">
        <v>4000</v>
      </c>
      <c r="L108" s="78">
        <f t="shared" si="0"/>
        <v>0</v>
      </c>
      <c r="M108" s="70"/>
      <c r="N108" t="s">
        <v>255</v>
      </c>
    </row>
    <row r="109" spans="1:14" x14ac:dyDescent="0.2">
      <c r="A109">
        <v>82</v>
      </c>
      <c r="B109" s="69">
        <v>36818</v>
      </c>
      <c r="D109" t="s">
        <v>267</v>
      </c>
      <c r="F109" s="70">
        <f>860000+60000+60000</f>
        <v>980000</v>
      </c>
      <c r="H109" s="71">
        <f>17200+300+900</f>
        <v>18400</v>
      </c>
      <c r="J109" s="72">
        <v>18358</v>
      </c>
      <c r="L109" s="78">
        <f t="shared" si="0"/>
        <v>-42</v>
      </c>
      <c r="M109" s="70"/>
      <c r="N109" t="s">
        <v>250</v>
      </c>
    </row>
    <row r="110" spans="1:14" x14ac:dyDescent="0.2">
      <c r="A110">
        <v>83</v>
      </c>
      <c r="B110" s="69">
        <v>36818</v>
      </c>
      <c r="D110" t="s">
        <v>267</v>
      </c>
      <c r="F110" s="70">
        <f>800000+800000</f>
        <v>1600000</v>
      </c>
      <c r="H110" s="71">
        <f>12000+16000</f>
        <v>28000</v>
      </c>
      <c r="J110" s="72">
        <v>28000</v>
      </c>
      <c r="L110" s="78">
        <f t="shared" si="0"/>
        <v>0</v>
      </c>
      <c r="M110" s="70"/>
      <c r="N110" t="s">
        <v>255</v>
      </c>
    </row>
    <row r="111" spans="1:14" x14ac:dyDescent="0.2">
      <c r="A111">
        <v>84</v>
      </c>
      <c r="B111" s="69">
        <v>36818</v>
      </c>
      <c r="D111" t="s">
        <v>54</v>
      </c>
      <c r="F111" s="70">
        <f>10800*5</f>
        <v>54000</v>
      </c>
      <c r="H111" s="71">
        <f>54*5</f>
        <v>270</v>
      </c>
      <c r="J111" s="72">
        <v>270</v>
      </c>
      <c r="L111" s="78">
        <f t="shared" ref="L111:L126" si="1">SUM(H111:H111)*-1+J111</f>
        <v>0</v>
      </c>
      <c r="M111" s="70"/>
      <c r="N111" t="s">
        <v>249</v>
      </c>
    </row>
    <row r="112" spans="1:14" x14ac:dyDescent="0.2">
      <c r="A112">
        <v>85</v>
      </c>
      <c r="B112" s="69">
        <v>36818</v>
      </c>
      <c r="D112" t="s">
        <v>54</v>
      </c>
      <c r="F112" s="70">
        <f>120000+120000+120000+120000+120000+80000+80000+80000+80000+80000+80000</f>
        <v>1080000</v>
      </c>
      <c r="H112" s="71">
        <f>2400+2400+2400+2400+2400+800+800+800+800+800+800</f>
        <v>16800</v>
      </c>
      <c r="J112" s="72">
        <v>16800</v>
      </c>
      <c r="L112" s="78">
        <f t="shared" si="1"/>
        <v>0</v>
      </c>
      <c r="M112" s="70"/>
      <c r="N112" t="s">
        <v>256</v>
      </c>
    </row>
    <row r="113" spans="1:16" x14ac:dyDescent="0.2">
      <c r="A113">
        <v>86</v>
      </c>
      <c r="B113" s="69">
        <v>36819</v>
      </c>
      <c r="D113" t="s">
        <v>221</v>
      </c>
      <c r="F113" s="70">
        <f>610000+630000+630000</f>
        <v>1870000</v>
      </c>
      <c r="H113" s="71">
        <f>4575+28350+6300</f>
        <v>39225</v>
      </c>
      <c r="J113" s="72">
        <v>39225</v>
      </c>
      <c r="L113" s="78">
        <f t="shared" si="1"/>
        <v>0</v>
      </c>
      <c r="M113" s="70"/>
      <c r="N113" t="s">
        <v>257</v>
      </c>
    </row>
    <row r="114" spans="1:16" x14ac:dyDescent="0.2">
      <c r="A114">
        <v>87</v>
      </c>
      <c r="B114" s="69">
        <v>36819</v>
      </c>
      <c r="D114" t="s">
        <v>222</v>
      </c>
      <c r="F114" s="70">
        <f>30000*3</f>
        <v>90000</v>
      </c>
      <c r="H114" s="71">
        <f>225+1350+300</f>
        <v>1875</v>
      </c>
      <c r="J114" s="72">
        <v>1875</v>
      </c>
      <c r="L114" s="78">
        <f t="shared" si="1"/>
        <v>0</v>
      </c>
      <c r="M114" s="70"/>
      <c r="N114" t="s">
        <v>257</v>
      </c>
    </row>
    <row r="115" spans="1:16" x14ac:dyDescent="0.2">
      <c r="A115">
        <v>88</v>
      </c>
      <c r="B115" s="69">
        <v>36819</v>
      </c>
      <c r="D115" t="s">
        <v>221</v>
      </c>
      <c r="F115" s="70">
        <f>60000*3</f>
        <v>180000</v>
      </c>
      <c r="H115" s="71">
        <f>2550+2250+1650</f>
        <v>6450</v>
      </c>
      <c r="J115" s="72">
        <v>6450</v>
      </c>
      <c r="L115" s="78">
        <f t="shared" si="1"/>
        <v>0</v>
      </c>
      <c r="M115" s="70"/>
      <c r="N115" t="s">
        <v>250</v>
      </c>
    </row>
    <row r="116" spans="1:16" x14ac:dyDescent="0.2">
      <c r="A116">
        <v>89</v>
      </c>
      <c r="B116" s="69">
        <v>36819</v>
      </c>
      <c r="D116" t="s">
        <v>222</v>
      </c>
      <c r="F116" s="70">
        <f>60000*3</f>
        <v>180000</v>
      </c>
      <c r="H116" s="71">
        <f>2550+2250+1650</f>
        <v>6450</v>
      </c>
      <c r="J116" s="72">
        <v>6450</v>
      </c>
      <c r="L116" s="78">
        <f t="shared" si="1"/>
        <v>0</v>
      </c>
      <c r="M116" s="70"/>
      <c r="N116" t="s">
        <v>250</v>
      </c>
    </row>
    <row r="117" spans="1:16" x14ac:dyDescent="0.2">
      <c r="A117">
        <v>90</v>
      </c>
      <c r="B117" s="69">
        <v>36819</v>
      </c>
      <c r="D117" t="s">
        <v>20</v>
      </c>
      <c r="F117" s="70">
        <v>40000</v>
      </c>
      <c r="H117" s="71">
        <v>100</v>
      </c>
      <c r="J117" s="72">
        <v>100</v>
      </c>
      <c r="L117" s="78">
        <f t="shared" si="1"/>
        <v>0</v>
      </c>
      <c r="M117" s="70"/>
      <c r="N117" t="s">
        <v>258</v>
      </c>
    </row>
    <row r="118" spans="1:16" x14ac:dyDescent="0.2">
      <c r="A118">
        <v>91</v>
      </c>
      <c r="B118" s="69">
        <v>36822</v>
      </c>
      <c r="D118" t="s">
        <v>54</v>
      </c>
      <c r="F118" s="70">
        <f>93700+96600+85300+67900+42500</f>
        <v>386000</v>
      </c>
      <c r="H118" s="71">
        <f>2529.9+2608.2+2303.1+1833.3+1147.5</f>
        <v>10422</v>
      </c>
      <c r="J118" s="72">
        <v>10308</v>
      </c>
      <c r="L118" s="78">
        <f t="shared" si="1"/>
        <v>-114</v>
      </c>
      <c r="M118" s="70"/>
      <c r="N118" t="s">
        <v>249</v>
      </c>
    </row>
    <row r="119" spans="1:16" x14ac:dyDescent="0.2">
      <c r="A119">
        <v>92</v>
      </c>
      <c r="B119" s="69">
        <v>36823</v>
      </c>
      <c r="D119" t="s">
        <v>20</v>
      </c>
      <c r="F119" s="70">
        <v>40000</v>
      </c>
      <c r="H119" s="71">
        <v>700</v>
      </c>
      <c r="J119" s="72">
        <v>700</v>
      </c>
      <c r="L119" s="78">
        <f t="shared" si="1"/>
        <v>0</v>
      </c>
      <c r="M119" s="70"/>
      <c r="N119" t="s">
        <v>260</v>
      </c>
    </row>
    <row r="120" spans="1:16" x14ac:dyDescent="0.2">
      <c r="A120">
        <v>93</v>
      </c>
      <c r="B120" s="69">
        <v>36824</v>
      </c>
      <c r="D120" t="s">
        <v>20</v>
      </c>
      <c r="F120" s="70">
        <v>40000</v>
      </c>
      <c r="H120" s="71">
        <v>1800</v>
      </c>
      <c r="J120" s="72">
        <v>1800</v>
      </c>
      <c r="L120" s="78">
        <f t="shared" si="1"/>
        <v>0</v>
      </c>
      <c r="M120" s="70"/>
      <c r="N120" t="s">
        <v>259</v>
      </c>
    </row>
    <row r="121" spans="1:16" x14ac:dyDescent="0.2">
      <c r="A121">
        <v>94</v>
      </c>
      <c r="B121" s="69">
        <v>36825</v>
      </c>
      <c r="D121" t="s">
        <v>183</v>
      </c>
      <c r="F121" s="70">
        <f>165000*16</f>
        <v>2640000</v>
      </c>
      <c r="H121" s="71">
        <f>4950*16</f>
        <v>79200</v>
      </c>
      <c r="J121" s="72">
        <v>79200</v>
      </c>
      <c r="L121" s="78">
        <f t="shared" si="1"/>
        <v>0</v>
      </c>
      <c r="M121" s="70"/>
      <c r="N121" t="s">
        <v>261</v>
      </c>
    </row>
    <row r="122" spans="1:16" x14ac:dyDescent="0.2">
      <c r="A122">
        <v>95</v>
      </c>
      <c r="B122" s="69">
        <v>36829</v>
      </c>
      <c r="D122" t="s">
        <v>20</v>
      </c>
      <c r="F122" s="70">
        <f>60000+60000</f>
        <v>120000</v>
      </c>
      <c r="H122" s="71">
        <f>450+300</f>
        <v>750</v>
      </c>
      <c r="J122" s="72">
        <v>750</v>
      </c>
      <c r="L122" s="78">
        <f t="shared" si="1"/>
        <v>0</v>
      </c>
      <c r="M122" s="70"/>
      <c r="N122" t="s">
        <v>262</v>
      </c>
    </row>
    <row r="123" spans="1:16" x14ac:dyDescent="0.2">
      <c r="B123" s="84" t="s">
        <v>247</v>
      </c>
      <c r="C123" s="85"/>
      <c r="D123" s="85" t="s">
        <v>274</v>
      </c>
      <c r="E123" s="85"/>
      <c r="F123" s="86">
        <v>0</v>
      </c>
      <c r="G123" s="85"/>
      <c r="H123" s="87">
        <v>0</v>
      </c>
      <c r="I123" s="85"/>
      <c r="J123" s="88">
        <v>267</v>
      </c>
      <c r="K123" s="85"/>
      <c r="L123" s="89">
        <f t="shared" si="1"/>
        <v>267</v>
      </c>
      <c r="M123" s="86"/>
      <c r="N123" s="90" t="s">
        <v>275</v>
      </c>
      <c r="O123" s="85"/>
      <c r="P123" s="85"/>
    </row>
    <row r="124" spans="1:16" x14ac:dyDescent="0.2">
      <c r="B124" s="84" t="s">
        <v>247</v>
      </c>
      <c r="C124" s="85"/>
      <c r="D124" s="85" t="s">
        <v>20</v>
      </c>
      <c r="E124" s="85"/>
      <c r="F124" s="86">
        <v>0</v>
      </c>
      <c r="G124" s="85"/>
      <c r="H124" s="87">
        <v>0</v>
      </c>
      <c r="I124" s="85"/>
      <c r="J124" s="88">
        <v>1788</v>
      </c>
      <c r="K124" s="85"/>
      <c r="L124" s="89">
        <f t="shared" si="1"/>
        <v>1788</v>
      </c>
      <c r="M124" s="86"/>
      <c r="N124" s="90" t="s">
        <v>275</v>
      </c>
      <c r="O124" s="85"/>
      <c r="P124" s="85"/>
    </row>
    <row r="125" spans="1:16" x14ac:dyDescent="0.2">
      <c r="B125" s="84" t="s">
        <v>247</v>
      </c>
      <c r="C125" s="85"/>
      <c r="D125" s="85" t="s">
        <v>276</v>
      </c>
      <c r="E125" s="85"/>
      <c r="F125" s="86">
        <v>0</v>
      </c>
      <c r="G125" s="85"/>
      <c r="H125" s="87">
        <v>0</v>
      </c>
      <c r="I125" s="85"/>
      <c r="J125" s="88">
        <v>19800</v>
      </c>
      <c r="K125" s="85"/>
      <c r="L125" s="89">
        <f t="shared" si="1"/>
        <v>19800</v>
      </c>
      <c r="M125" s="86"/>
      <c r="N125" s="90" t="s">
        <v>275</v>
      </c>
      <c r="O125" s="85"/>
      <c r="P125" s="85"/>
    </row>
    <row r="126" spans="1:16" x14ac:dyDescent="0.2">
      <c r="B126" s="83" t="s">
        <v>286</v>
      </c>
      <c r="F126" s="70">
        <v>0</v>
      </c>
      <c r="H126" s="71">
        <v>0</v>
      </c>
      <c r="J126" s="72">
        <v>990</v>
      </c>
      <c r="L126" s="78">
        <f t="shared" si="1"/>
        <v>990</v>
      </c>
      <c r="M126" s="70"/>
      <c r="N126" s="81"/>
    </row>
    <row r="127" spans="1:16" x14ac:dyDescent="0.2">
      <c r="B127" s="79" t="s">
        <v>269</v>
      </c>
      <c r="F127" s="73">
        <f>SUM(F93:F126)</f>
        <v>17232067</v>
      </c>
      <c r="G127" s="73" t="s">
        <v>226</v>
      </c>
      <c r="H127" s="73">
        <f>SUM(H93:H126)</f>
        <v>355076.09</v>
      </c>
      <c r="I127" s="73" t="s">
        <v>226</v>
      </c>
      <c r="J127" s="73">
        <f>SUM(J93:J126)</f>
        <v>378768</v>
      </c>
      <c r="K127" s="73" t="s">
        <v>226</v>
      </c>
      <c r="L127" s="73">
        <f>SUM(L93:L126)</f>
        <v>23691.909999999982</v>
      </c>
      <c r="M127" s="70"/>
    </row>
    <row r="128" spans="1:16" x14ac:dyDescent="0.2">
      <c r="B128" s="69"/>
      <c r="F128" s="70"/>
      <c r="H128" s="71"/>
      <c r="J128" s="72"/>
      <c r="L128" s="78"/>
      <c r="M128" s="70"/>
    </row>
    <row r="129" spans="1:14" x14ac:dyDescent="0.2">
      <c r="A129">
        <v>96</v>
      </c>
      <c r="B129" s="69">
        <v>36832</v>
      </c>
      <c r="D129" t="s">
        <v>263</v>
      </c>
      <c r="F129" s="70">
        <f>12500*4</f>
        <v>50000</v>
      </c>
      <c r="H129" s="71">
        <v>0</v>
      </c>
      <c r="J129" s="72"/>
      <c r="L129" s="78"/>
      <c r="M129" s="70"/>
      <c r="N129" t="s">
        <v>264</v>
      </c>
    </row>
    <row r="130" spans="1:14" x14ac:dyDescent="0.2">
      <c r="A130">
        <v>97</v>
      </c>
      <c r="B130" s="69">
        <v>36833</v>
      </c>
      <c r="D130" t="s">
        <v>263</v>
      </c>
      <c r="F130" s="70">
        <f>47000*4</f>
        <v>188000</v>
      </c>
      <c r="H130" s="71">
        <f>117.5*4</f>
        <v>470</v>
      </c>
      <c r="J130" s="72">
        <v>470</v>
      </c>
      <c r="L130" s="78">
        <f>J130-H130</f>
        <v>0</v>
      </c>
      <c r="M130" s="70"/>
      <c r="N130" t="s">
        <v>264</v>
      </c>
    </row>
    <row r="131" spans="1:14" x14ac:dyDescent="0.2">
      <c r="A131">
        <v>98</v>
      </c>
      <c r="B131" s="69">
        <v>36839</v>
      </c>
      <c r="D131" t="s">
        <v>13</v>
      </c>
      <c r="F131" s="70">
        <f>805151*6</f>
        <v>4830906</v>
      </c>
      <c r="H131" s="71">
        <f>16103.02*6</f>
        <v>96618.12</v>
      </c>
      <c r="J131" s="72">
        <v>96618.12</v>
      </c>
      <c r="L131" s="78">
        <f>J131-H131</f>
        <v>0</v>
      </c>
      <c r="M131" s="70"/>
      <c r="N131" s="41" t="s">
        <v>280</v>
      </c>
    </row>
    <row r="132" spans="1:14" x14ac:dyDescent="0.2">
      <c r="A132">
        <v>99</v>
      </c>
      <c r="B132" s="69">
        <v>36843</v>
      </c>
      <c r="D132" t="s">
        <v>277</v>
      </c>
      <c r="F132" s="70">
        <v>0</v>
      </c>
      <c r="H132" s="71">
        <v>0</v>
      </c>
      <c r="I132" t="s">
        <v>226</v>
      </c>
      <c r="J132" s="72">
        <v>0</v>
      </c>
      <c r="L132" s="78">
        <f>J132-H132</f>
        <v>0</v>
      </c>
      <c r="M132" s="70"/>
      <c r="N132" s="82" t="s">
        <v>278</v>
      </c>
    </row>
    <row r="133" spans="1:14" x14ac:dyDescent="0.2">
      <c r="B133" s="83" t="s">
        <v>285</v>
      </c>
      <c r="F133" s="70">
        <v>0</v>
      </c>
      <c r="H133" s="71">
        <v>0</v>
      </c>
      <c r="J133" s="72">
        <v>37646</v>
      </c>
      <c r="L133" s="78">
        <f>J133-H133</f>
        <v>37646</v>
      </c>
      <c r="M133" s="70"/>
      <c r="N133" s="82"/>
    </row>
    <row r="134" spans="1:14" x14ac:dyDescent="0.2">
      <c r="B134" s="79" t="s">
        <v>268</v>
      </c>
      <c r="F134" s="73">
        <f>SUM(F129:F133)</f>
        <v>5068906</v>
      </c>
      <c r="G134" s="73" t="s">
        <v>226</v>
      </c>
      <c r="H134" s="73">
        <f>SUM(H129:H133)</f>
        <v>97088.12</v>
      </c>
      <c r="I134" s="73" t="s">
        <v>226</v>
      </c>
      <c r="J134" s="73">
        <f>SUM(J129:J133)</f>
        <v>134734.12</v>
      </c>
      <c r="K134" s="73" t="s">
        <v>226</v>
      </c>
      <c r="L134" s="76">
        <f>SUM(L129:L133)</f>
        <v>37646</v>
      </c>
      <c r="M134" s="70"/>
    </row>
    <row r="135" spans="1:14" x14ac:dyDescent="0.2">
      <c r="B135" s="69"/>
      <c r="F135" s="70"/>
      <c r="H135" s="71"/>
      <c r="J135" s="72"/>
      <c r="L135" s="78"/>
      <c r="M135" s="70"/>
    </row>
    <row r="136" spans="1:14" x14ac:dyDescent="0.2">
      <c r="A136">
        <v>100</v>
      </c>
      <c r="B136" s="69">
        <v>36861</v>
      </c>
      <c r="D136" t="s">
        <v>277</v>
      </c>
      <c r="F136" s="70">
        <f>165000*43</f>
        <v>7095000</v>
      </c>
      <c r="H136" s="71">
        <f>4537.5*43</f>
        <v>195112.5</v>
      </c>
      <c r="J136" s="72">
        <v>190575</v>
      </c>
      <c r="L136" s="78">
        <f t="shared" ref="L136:L142" si="2">J136-H136</f>
        <v>-4537.5</v>
      </c>
      <c r="M136" s="70"/>
      <c r="N136" s="41" t="s">
        <v>283</v>
      </c>
    </row>
    <row r="137" spans="1:14" x14ac:dyDescent="0.2">
      <c r="A137">
        <v>101</v>
      </c>
      <c r="B137" s="69">
        <v>36881</v>
      </c>
      <c r="D137" t="s">
        <v>54</v>
      </c>
      <c r="F137" s="70">
        <f>57200+28800</f>
        <v>86000</v>
      </c>
      <c r="H137" s="71">
        <f>1144+576</f>
        <v>1720</v>
      </c>
      <c r="J137" s="72">
        <v>576</v>
      </c>
      <c r="L137" s="78">
        <f t="shared" si="2"/>
        <v>-1144</v>
      </c>
      <c r="M137" s="70"/>
      <c r="N137" s="41" t="s">
        <v>291</v>
      </c>
    </row>
    <row r="138" spans="1:14" x14ac:dyDescent="0.2">
      <c r="A138">
        <v>102</v>
      </c>
      <c r="B138" s="69">
        <v>36881</v>
      </c>
      <c r="D138" t="s">
        <v>122</v>
      </c>
      <c r="F138" s="70">
        <f>99900+64000+8600</f>
        <v>172500</v>
      </c>
      <c r="H138" s="71">
        <f>1998+1280+172</f>
        <v>3450</v>
      </c>
      <c r="J138" s="72">
        <v>3450</v>
      </c>
      <c r="L138" s="78">
        <f t="shared" si="2"/>
        <v>0</v>
      </c>
      <c r="M138" s="70"/>
      <c r="N138" s="41" t="s">
        <v>292</v>
      </c>
    </row>
    <row r="139" spans="1:14" x14ac:dyDescent="0.2">
      <c r="A139">
        <v>103</v>
      </c>
      <c r="B139" s="69">
        <v>36871</v>
      </c>
      <c r="D139" t="s">
        <v>281</v>
      </c>
      <c r="F139" s="70">
        <f>30000*2</f>
        <v>60000</v>
      </c>
      <c r="H139" s="71">
        <f>1200*2</f>
        <v>2400</v>
      </c>
      <c r="J139" s="72">
        <v>2400</v>
      </c>
      <c r="L139" s="78">
        <f t="shared" si="2"/>
        <v>0</v>
      </c>
      <c r="M139" s="70"/>
      <c r="N139" t="s">
        <v>284</v>
      </c>
    </row>
    <row r="140" spans="1:14" x14ac:dyDescent="0.2">
      <c r="A140">
        <v>104</v>
      </c>
      <c r="B140" s="69">
        <v>36886</v>
      </c>
      <c r="D140" t="s">
        <v>216</v>
      </c>
      <c r="F140" s="70">
        <v>150000</v>
      </c>
      <c r="H140" s="71">
        <v>3750</v>
      </c>
      <c r="J140" s="72">
        <v>3750</v>
      </c>
      <c r="L140" s="78">
        <f t="shared" si="2"/>
        <v>0</v>
      </c>
      <c r="M140" s="70"/>
      <c r="N140" t="s">
        <v>289</v>
      </c>
    </row>
    <row r="141" spans="1:14" x14ac:dyDescent="0.2">
      <c r="A141">
        <v>105</v>
      </c>
      <c r="B141" s="69">
        <v>36886</v>
      </c>
      <c r="D141" t="s">
        <v>222</v>
      </c>
      <c r="F141" s="70">
        <v>60000</v>
      </c>
      <c r="H141" s="71">
        <v>1500</v>
      </c>
      <c r="J141" s="72">
        <v>1500</v>
      </c>
      <c r="L141" s="78">
        <f t="shared" si="2"/>
        <v>0</v>
      </c>
      <c r="M141" s="70"/>
      <c r="N141" t="s">
        <v>289</v>
      </c>
    </row>
    <row r="142" spans="1:14" x14ac:dyDescent="0.2">
      <c r="A142">
        <v>106</v>
      </c>
      <c r="B142" s="69">
        <v>36886</v>
      </c>
      <c r="D142" t="s">
        <v>221</v>
      </c>
      <c r="F142" s="70">
        <v>60000</v>
      </c>
      <c r="H142" s="71">
        <v>1500</v>
      </c>
      <c r="J142" s="72">
        <v>1500</v>
      </c>
      <c r="L142" s="78">
        <f t="shared" si="2"/>
        <v>0</v>
      </c>
      <c r="M142" s="70"/>
      <c r="N142" t="s">
        <v>289</v>
      </c>
    </row>
    <row r="143" spans="1:14" x14ac:dyDescent="0.2">
      <c r="B143" s="69"/>
      <c r="F143" s="70"/>
      <c r="H143" s="71"/>
      <c r="J143" s="72"/>
      <c r="L143" s="78"/>
      <c r="M143" s="70"/>
    </row>
    <row r="144" spans="1:14" x14ac:dyDescent="0.2">
      <c r="A144">
        <v>107</v>
      </c>
      <c r="B144" s="69">
        <v>36886</v>
      </c>
      <c r="D144" t="s">
        <v>216</v>
      </c>
      <c r="F144" s="70">
        <v>200000</v>
      </c>
      <c r="H144" s="71">
        <v>6000</v>
      </c>
      <c r="J144" s="72">
        <v>41800</v>
      </c>
      <c r="L144" s="78">
        <f>SUM(H144:H148)*-1+J144</f>
        <v>0</v>
      </c>
      <c r="M144" s="70"/>
      <c r="N144" s="41" t="s">
        <v>290</v>
      </c>
    </row>
    <row r="145" spans="1:16" x14ac:dyDescent="0.2">
      <c r="A145">
        <v>108</v>
      </c>
      <c r="B145" s="69">
        <v>36886</v>
      </c>
      <c r="D145" t="s">
        <v>222</v>
      </c>
      <c r="F145" s="70">
        <v>30000</v>
      </c>
      <c r="H145" s="71">
        <v>900</v>
      </c>
      <c r="J145" s="72" t="s">
        <v>241</v>
      </c>
      <c r="L145" s="78"/>
      <c r="M145" s="70"/>
      <c r="N145" s="41" t="s">
        <v>290</v>
      </c>
    </row>
    <row r="146" spans="1:16" x14ac:dyDescent="0.2">
      <c r="A146">
        <v>109</v>
      </c>
      <c r="B146" s="69">
        <v>36886</v>
      </c>
      <c r="D146" t="s">
        <v>221</v>
      </c>
      <c r="F146" s="70">
        <v>630000</v>
      </c>
      <c r="H146" s="71">
        <v>18900</v>
      </c>
      <c r="J146" s="72" t="s">
        <v>241</v>
      </c>
      <c r="L146" s="78"/>
      <c r="M146" s="70"/>
      <c r="N146" s="41" t="s">
        <v>290</v>
      </c>
    </row>
    <row r="147" spans="1:16" x14ac:dyDescent="0.2">
      <c r="A147">
        <v>110</v>
      </c>
      <c r="B147" s="69">
        <v>36886</v>
      </c>
      <c r="D147" t="s">
        <v>217</v>
      </c>
      <c r="F147" s="70">
        <v>500000</v>
      </c>
      <c r="H147" s="71">
        <v>10000</v>
      </c>
      <c r="J147" s="72" t="s">
        <v>241</v>
      </c>
      <c r="L147" s="78"/>
      <c r="M147" s="70"/>
      <c r="N147" s="41" t="s">
        <v>290</v>
      </c>
    </row>
    <row r="148" spans="1:16" x14ac:dyDescent="0.2">
      <c r="A148">
        <v>111</v>
      </c>
      <c r="B148" s="69">
        <v>36886</v>
      </c>
      <c r="D148" t="s">
        <v>217</v>
      </c>
      <c r="F148" s="70">
        <v>300000</v>
      </c>
      <c r="H148" s="71">
        <v>6000</v>
      </c>
      <c r="J148" s="72" t="s">
        <v>241</v>
      </c>
      <c r="L148" s="78"/>
      <c r="M148" s="70"/>
      <c r="N148" s="41" t="s">
        <v>290</v>
      </c>
    </row>
    <row r="149" spans="1:16" x14ac:dyDescent="0.2">
      <c r="A149" t="s">
        <v>226</v>
      </c>
      <c r="B149" s="69"/>
      <c r="F149" s="70"/>
      <c r="H149" s="71"/>
      <c r="J149" s="72"/>
      <c r="L149" s="78"/>
      <c r="M149" s="70"/>
    </row>
    <row r="150" spans="1:16" x14ac:dyDescent="0.2">
      <c r="A150">
        <v>112</v>
      </c>
      <c r="B150" s="69">
        <v>36886</v>
      </c>
      <c r="D150" t="s">
        <v>217</v>
      </c>
      <c r="F150" s="70">
        <v>60000</v>
      </c>
      <c r="H150" s="71">
        <v>900</v>
      </c>
      <c r="J150" s="72">
        <v>900</v>
      </c>
      <c r="L150" s="78">
        <f>J150-H150</f>
        <v>0</v>
      </c>
      <c r="M150" s="70"/>
    </row>
    <row r="151" spans="1:16" x14ac:dyDescent="0.2">
      <c r="B151" s="69"/>
      <c r="F151" s="70"/>
      <c r="H151" s="71"/>
      <c r="J151" s="72"/>
      <c r="L151" s="78"/>
      <c r="M151" s="70"/>
    </row>
    <row r="152" spans="1:16" x14ac:dyDescent="0.2">
      <c r="P152" s="85"/>
    </row>
    <row r="153" spans="1:16" x14ac:dyDescent="0.2">
      <c r="B153" s="79" t="s">
        <v>282</v>
      </c>
      <c r="F153" s="73">
        <f>SUM(F136:F151)</f>
        <v>9403500</v>
      </c>
      <c r="G153" s="73" t="s">
        <v>226</v>
      </c>
      <c r="H153" s="73">
        <f>SUM(H136:H151)</f>
        <v>252132.5</v>
      </c>
      <c r="I153" s="73" t="s">
        <v>226</v>
      </c>
      <c r="J153" s="73">
        <f>SUM(J136:J151)</f>
        <v>246451</v>
      </c>
      <c r="K153" s="73" t="s">
        <v>226</v>
      </c>
      <c r="L153" s="76">
        <f>SUM(L136:L151)</f>
        <v>-5681.5</v>
      </c>
      <c r="M153" s="70"/>
    </row>
    <row r="154" spans="1:16" x14ac:dyDescent="0.2">
      <c r="B154" s="69"/>
      <c r="F154" s="70"/>
      <c r="H154" s="71"/>
      <c r="J154" s="72"/>
      <c r="L154" s="78"/>
      <c r="M154" s="70"/>
    </row>
    <row r="155" spans="1:16" ht="13.5" thickBot="1" x14ac:dyDescent="0.25">
      <c r="B155" s="79" t="s">
        <v>265</v>
      </c>
      <c r="C155" s="54"/>
      <c r="D155" s="54"/>
      <c r="E155" s="54"/>
      <c r="F155" s="80">
        <f>F7+F10+F81+F91+F127+F134+F153</f>
        <v>72436557</v>
      </c>
      <c r="G155" s="80" t="s">
        <v>226</v>
      </c>
      <c r="H155" s="80">
        <f>H7+H10+H81+H91+H127+H134+H153</f>
        <v>1574442.21</v>
      </c>
      <c r="I155" s="80" t="s">
        <v>226</v>
      </c>
      <c r="J155" s="80">
        <f>J7+J10+J81+J91+J127+J134+J153</f>
        <v>1586448.12</v>
      </c>
      <c r="K155" s="80" t="s">
        <v>226</v>
      </c>
      <c r="L155" s="80">
        <f>L7+L10+L81+L91+L127+L134+L153</f>
        <v>12005.909999999996</v>
      </c>
      <c r="M155" t="s">
        <v>226</v>
      </c>
    </row>
    <row r="156" spans="1:16" ht="13.5" thickTop="1" x14ac:dyDescent="0.2">
      <c r="B156" s="69"/>
      <c r="F156" s="70"/>
      <c r="H156" s="71"/>
      <c r="J156" s="72"/>
      <c r="L156" s="78"/>
      <c r="M156" s="70"/>
    </row>
    <row r="157" spans="1:16" x14ac:dyDescent="0.2">
      <c r="B157" s="69"/>
      <c r="F157" s="70"/>
      <c r="H157" s="71"/>
      <c r="J157" s="72"/>
      <c r="L157" s="78"/>
      <c r="M157" s="70"/>
    </row>
    <row r="158" spans="1:16" x14ac:dyDescent="0.2">
      <c r="B158" s="69"/>
      <c r="F158" s="70"/>
      <c r="H158" s="71"/>
      <c r="J158" s="72"/>
      <c r="L158" s="78"/>
      <c r="M158" s="70"/>
    </row>
    <row r="159" spans="1:16" x14ac:dyDescent="0.2">
      <c r="B159" s="69"/>
      <c r="F159" s="70"/>
      <c r="H159" s="71"/>
      <c r="J159" s="72"/>
      <c r="L159" s="78"/>
      <c r="M159" s="70"/>
    </row>
    <row r="160" spans="1:16" x14ac:dyDescent="0.2">
      <c r="B160" s="69"/>
      <c r="F160" s="70"/>
      <c r="H160" s="71"/>
      <c r="J160" s="72"/>
      <c r="L160" s="78"/>
      <c r="M160" s="70"/>
    </row>
    <row r="161" spans="2:13" x14ac:dyDescent="0.2">
      <c r="B161" s="69"/>
      <c r="F161" s="70"/>
      <c r="H161" s="71"/>
      <c r="J161" s="72"/>
      <c r="L161" s="78"/>
      <c r="M161" s="70"/>
    </row>
    <row r="162" spans="2:13" x14ac:dyDescent="0.2">
      <c r="B162" s="69"/>
      <c r="F162" s="70"/>
      <c r="H162" s="71"/>
      <c r="J162" s="72"/>
      <c r="L162" s="78"/>
      <c r="M162" s="70"/>
    </row>
    <row r="163" spans="2:13" x14ac:dyDescent="0.2">
      <c r="B163" s="69"/>
      <c r="F163" s="70"/>
      <c r="H163" s="71"/>
      <c r="J163" s="72"/>
      <c r="L163" s="78"/>
      <c r="M163" s="70"/>
    </row>
    <row r="164" spans="2:13" x14ac:dyDescent="0.2">
      <c r="B164" s="69"/>
      <c r="F164" s="70"/>
      <c r="H164" s="71"/>
      <c r="J164" s="72"/>
      <c r="L164" s="78"/>
      <c r="M164" s="70"/>
    </row>
    <row r="165" spans="2:13" x14ac:dyDescent="0.2">
      <c r="B165" s="69"/>
      <c r="F165" s="70"/>
      <c r="H165" s="71"/>
      <c r="J165" s="72"/>
      <c r="L165" s="78"/>
      <c r="M165" s="70"/>
    </row>
    <row r="166" spans="2:13" x14ac:dyDescent="0.2">
      <c r="B166" s="69"/>
      <c r="F166" s="70"/>
      <c r="H166" s="71"/>
      <c r="J166" s="72"/>
      <c r="L166" s="78"/>
      <c r="M166" s="70"/>
    </row>
    <row r="167" spans="2:13" x14ac:dyDescent="0.2">
      <c r="B167" s="69"/>
      <c r="F167" s="70"/>
      <c r="H167" s="71"/>
      <c r="J167" s="72"/>
      <c r="L167" s="78"/>
      <c r="M167" s="70"/>
    </row>
    <row r="168" spans="2:13" x14ac:dyDescent="0.2">
      <c r="B168" s="69"/>
      <c r="F168" s="70"/>
      <c r="H168" s="71"/>
      <c r="J168" s="72"/>
      <c r="L168" s="78"/>
      <c r="M168" s="70"/>
    </row>
    <row r="169" spans="2:13" x14ac:dyDescent="0.2">
      <c r="B169" s="69"/>
      <c r="F169" s="70"/>
      <c r="H169" s="71"/>
      <c r="J169" s="72"/>
      <c r="L169" s="78"/>
      <c r="M169" s="70"/>
    </row>
    <row r="170" spans="2:13" x14ac:dyDescent="0.2">
      <c r="B170" s="69"/>
      <c r="F170" s="70"/>
      <c r="H170" s="71"/>
      <c r="J170" s="72"/>
      <c r="L170" s="78"/>
      <c r="M170" s="70"/>
    </row>
    <row r="171" spans="2:13" x14ac:dyDescent="0.2">
      <c r="B171" s="69"/>
      <c r="F171" s="70"/>
      <c r="H171" s="71"/>
      <c r="J171" s="72"/>
      <c r="L171" s="78"/>
      <c r="M171" s="70"/>
    </row>
    <row r="172" spans="2:13" x14ac:dyDescent="0.2">
      <c r="B172" s="69"/>
      <c r="F172" s="70"/>
      <c r="H172" s="71"/>
      <c r="J172" s="72"/>
      <c r="L172" s="78"/>
      <c r="M172" s="70"/>
    </row>
    <row r="173" spans="2:13" x14ac:dyDescent="0.2">
      <c r="B173" s="69"/>
      <c r="F173" s="70"/>
      <c r="H173" s="71"/>
      <c r="J173" s="72"/>
      <c r="L173" s="78"/>
      <c r="M173" s="70"/>
    </row>
    <row r="174" spans="2:13" x14ac:dyDescent="0.2">
      <c r="B174" s="69"/>
      <c r="F174" s="70"/>
      <c r="H174" s="71"/>
      <c r="J174" s="72"/>
      <c r="L174" s="78"/>
      <c r="M174" s="70"/>
    </row>
    <row r="175" spans="2:13" x14ac:dyDescent="0.2">
      <c r="B175" s="69"/>
      <c r="F175" s="70"/>
      <c r="H175" s="71"/>
      <c r="J175" s="72"/>
      <c r="L175" s="78"/>
      <c r="M175" s="70"/>
    </row>
    <row r="176" spans="2:13" x14ac:dyDescent="0.2">
      <c r="B176" s="69"/>
      <c r="F176" s="70"/>
      <c r="H176" s="71"/>
      <c r="J176" s="72"/>
      <c r="L176" s="78"/>
      <c r="M176" s="70"/>
    </row>
    <row r="177" spans="2:13" x14ac:dyDescent="0.2">
      <c r="B177" s="69"/>
      <c r="F177" s="70"/>
      <c r="H177" s="71"/>
      <c r="J177" s="72"/>
      <c r="L177" s="78"/>
      <c r="M177" s="70"/>
    </row>
    <row r="178" spans="2:13" x14ac:dyDescent="0.2">
      <c r="B178" s="69"/>
      <c r="F178" s="70"/>
      <c r="H178" s="71"/>
      <c r="J178" s="72"/>
      <c r="L178" s="78"/>
      <c r="M178" s="70"/>
    </row>
    <row r="179" spans="2:13" x14ac:dyDescent="0.2">
      <c r="B179" s="69"/>
      <c r="F179" s="70"/>
      <c r="H179" s="71"/>
      <c r="J179" s="72"/>
      <c r="L179" s="78"/>
      <c r="M179" s="70"/>
    </row>
    <row r="180" spans="2:13" x14ac:dyDescent="0.2">
      <c r="B180" s="69"/>
      <c r="F180" s="70"/>
      <c r="H180" s="71"/>
      <c r="J180" s="72"/>
      <c r="L180" s="78"/>
      <c r="M180" s="70"/>
    </row>
    <row r="181" spans="2:13" x14ac:dyDescent="0.2">
      <c r="B181" s="69"/>
      <c r="F181" s="70"/>
      <c r="H181" s="71"/>
      <c r="J181" s="72"/>
      <c r="L181" s="78"/>
      <c r="M181" s="70"/>
    </row>
    <row r="182" spans="2:13" x14ac:dyDescent="0.2">
      <c r="B182" s="69"/>
      <c r="F182" s="70"/>
      <c r="H182" s="71"/>
      <c r="J182" s="72"/>
      <c r="L182" s="78"/>
      <c r="M182" s="70"/>
    </row>
    <row r="183" spans="2:13" x14ac:dyDescent="0.2">
      <c r="B183" s="69"/>
      <c r="F183" s="70"/>
      <c r="H183" s="71"/>
      <c r="J183" s="72"/>
      <c r="L183" s="78"/>
      <c r="M183" s="70"/>
    </row>
    <row r="184" spans="2:13" x14ac:dyDescent="0.2">
      <c r="B184" s="69"/>
      <c r="F184" s="70"/>
      <c r="H184" s="71"/>
      <c r="J184" s="72"/>
      <c r="L184" s="78"/>
      <c r="M184" s="70"/>
    </row>
    <row r="185" spans="2:13" x14ac:dyDescent="0.2">
      <c r="B185" s="69"/>
      <c r="F185" s="70"/>
      <c r="H185" s="71"/>
      <c r="J185" s="72"/>
      <c r="L185" s="78"/>
      <c r="M185" s="70"/>
    </row>
    <row r="186" spans="2:13" x14ac:dyDescent="0.2">
      <c r="B186" s="69"/>
      <c r="F186" s="70"/>
      <c r="H186" s="71"/>
      <c r="J186" s="72"/>
      <c r="L186" s="78"/>
      <c r="M186" s="70"/>
    </row>
    <row r="187" spans="2:13" x14ac:dyDescent="0.2">
      <c r="B187" s="69"/>
      <c r="F187" s="70"/>
      <c r="H187" s="71"/>
      <c r="J187" s="72"/>
      <c r="L187" s="78"/>
      <c r="M187" s="70"/>
    </row>
    <row r="188" spans="2:13" x14ac:dyDescent="0.2">
      <c r="B188" s="69"/>
      <c r="F188" s="70"/>
      <c r="H188" s="71"/>
      <c r="J188" s="72"/>
      <c r="L188" s="78"/>
      <c r="M188" s="70"/>
    </row>
    <row r="189" spans="2:13" x14ac:dyDescent="0.2">
      <c r="B189" s="69"/>
      <c r="F189" s="70"/>
      <c r="H189" s="71"/>
      <c r="J189" s="72"/>
      <c r="L189" s="78"/>
      <c r="M189" s="70"/>
    </row>
    <row r="190" spans="2:13" x14ac:dyDescent="0.2">
      <c r="B190" s="69"/>
      <c r="F190" s="70"/>
      <c r="H190" s="71"/>
      <c r="J190" s="72"/>
      <c r="L190" s="78"/>
      <c r="M190" s="70"/>
    </row>
    <row r="191" spans="2:13" x14ac:dyDescent="0.2">
      <c r="B191" s="69"/>
      <c r="F191" s="70"/>
      <c r="H191" s="71"/>
      <c r="J191" s="72"/>
      <c r="L191" s="78"/>
      <c r="M191" s="70"/>
    </row>
    <row r="192" spans="2:13" x14ac:dyDescent="0.2">
      <c r="B192" s="69"/>
      <c r="F192" s="70"/>
      <c r="H192" s="71"/>
      <c r="J192" s="72"/>
      <c r="L192" s="78"/>
      <c r="M192" s="70"/>
    </row>
    <row r="193" spans="2:13" x14ac:dyDescent="0.2">
      <c r="B193" s="69"/>
      <c r="F193" s="70"/>
      <c r="H193" s="71"/>
      <c r="J193" s="72"/>
      <c r="L193" s="78"/>
      <c r="M193" s="70"/>
    </row>
    <row r="194" spans="2:13" x14ac:dyDescent="0.2">
      <c r="B194" s="69"/>
      <c r="F194" s="70"/>
      <c r="H194" s="71"/>
      <c r="J194" s="72"/>
      <c r="L194" s="78"/>
      <c r="M194" s="70"/>
    </row>
    <row r="195" spans="2:13" x14ac:dyDescent="0.2">
      <c r="B195" s="69"/>
      <c r="F195" s="70"/>
      <c r="H195" s="71"/>
      <c r="J195" s="72"/>
      <c r="L195" s="78"/>
      <c r="M195" s="70"/>
    </row>
    <row r="196" spans="2:13" x14ac:dyDescent="0.2">
      <c r="B196" s="69"/>
      <c r="F196" s="70"/>
      <c r="H196" s="71"/>
      <c r="J196" s="72"/>
      <c r="L196" s="78"/>
      <c r="M196" s="70"/>
    </row>
    <row r="197" spans="2:13" x14ac:dyDescent="0.2">
      <c r="B197" s="69"/>
      <c r="F197" s="70"/>
      <c r="H197" s="71"/>
      <c r="J197" s="72"/>
      <c r="L197" s="78"/>
      <c r="M197" s="70"/>
    </row>
    <row r="198" spans="2:13" x14ac:dyDescent="0.2">
      <c r="B198" s="69"/>
      <c r="F198" s="70"/>
      <c r="H198" s="71"/>
      <c r="J198" s="72"/>
      <c r="L198" s="78"/>
      <c r="M198" s="70"/>
    </row>
    <row r="199" spans="2:13" x14ac:dyDescent="0.2">
      <c r="B199" s="69"/>
      <c r="F199" s="70"/>
      <c r="H199" s="71"/>
      <c r="J199" s="72"/>
      <c r="L199" s="78"/>
      <c r="M199" s="70"/>
    </row>
    <row r="200" spans="2:13" x14ac:dyDescent="0.2">
      <c r="B200" s="69"/>
      <c r="F200" s="70"/>
      <c r="H200" s="71"/>
      <c r="J200" s="72"/>
      <c r="L200" s="78"/>
      <c r="M200" s="70"/>
    </row>
    <row r="201" spans="2:13" x14ac:dyDescent="0.2">
      <c r="B201" s="69"/>
      <c r="F201" s="70"/>
      <c r="H201" s="71"/>
      <c r="J201" s="72"/>
      <c r="L201" s="78"/>
      <c r="M201" s="70"/>
    </row>
    <row r="202" spans="2:13" x14ac:dyDescent="0.2">
      <c r="B202" s="69"/>
      <c r="F202" s="70"/>
      <c r="H202" s="71"/>
      <c r="J202" s="72"/>
      <c r="L202" s="78"/>
      <c r="M202" s="70"/>
    </row>
    <row r="203" spans="2:13" x14ac:dyDescent="0.2">
      <c r="B203" s="69"/>
      <c r="F203" s="70"/>
      <c r="H203" s="71"/>
      <c r="J203" s="72"/>
      <c r="L203" s="78"/>
      <c r="M203" s="70"/>
    </row>
    <row r="204" spans="2:13" x14ac:dyDescent="0.2">
      <c r="B204" s="69"/>
      <c r="F204" s="70"/>
      <c r="H204" s="71"/>
      <c r="J204" s="72"/>
      <c r="L204" s="78"/>
      <c r="M204" s="70"/>
    </row>
    <row r="205" spans="2:13" x14ac:dyDescent="0.2">
      <c r="B205" s="69"/>
      <c r="F205" s="70"/>
      <c r="H205" s="71"/>
      <c r="J205" s="72"/>
      <c r="L205" s="78"/>
      <c r="M205" s="70"/>
    </row>
    <row r="206" spans="2:13" x14ac:dyDescent="0.2">
      <c r="B206" s="69"/>
      <c r="F206" s="70"/>
      <c r="H206" s="71"/>
      <c r="J206" s="72"/>
      <c r="L206" s="78"/>
      <c r="M206" s="70"/>
    </row>
    <row r="207" spans="2:13" x14ac:dyDescent="0.2">
      <c r="B207" s="69"/>
      <c r="F207" s="70"/>
      <c r="H207" s="71"/>
      <c r="J207" s="72"/>
      <c r="L207" s="78"/>
      <c r="M207" s="70"/>
    </row>
    <row r="208" spans="2:13" x14ac:dyDescent="0.2">
      <c r="B208" s="69"/>
      <c r="F208" s="70"/>
      <c r="H208" s="71"/>
      <c r="J208" s="72"/>
      <c r="L208" s="78"/>
      <c r="M208" s="70"/>
    </row>
    <row r="209" spans="2:13" x14ac:dyDescent="0.2">
      <c r="B209" s="69"/>
      <c r="F209" s="70"/>
      <c r="H209" s="71"/>
      <c r="J209" s="72"/>
      <c r="L209" s="78"/>
      <c r="M209" s="70"/>
    </row>
    <row r="210" spans="2:13" x14ac:dyDescent="0.2">
      <c r="B210" s="69"/>
      <c r="F210" s="70"/>
      <c r="H210" s="71"/>
      <c r="J210" s="72"/>
      <c r="L210" s="78"/>
      <c r="M210" s="70"/>
    </row>
    <row r="211" spans="2:13" x14ac:dyDescent="0.2">
      <c r="B211" s="69"/>
      <c r="F211" s="70"/>
      <c r="H211" s="71"/>
      <c r="J211" s="72"/>
      <c r="L211" s="78"/>
      <c r="M211" s="70"/>
    </row>
    <row r="212" spans="2:13" x14ac:dyDescent="0.2">
      <c r="B212" s="69"/>
      <c r="F212" s="70"/>
      <c r="H212" s="71"/>
      <c r="J212" s="72"/>
      <c r="L212" s="78"/>
      <c r="M212" s="70"/>
    </row>
    <row r="213" spans="2:13" x14ac:dyDescent="0.2">
      <c r="B213" s="69"/>
      <c r="F213" s="70"/>
      <c r="H213" s="71"/>
      <c r="J213" s="72"/>
      <c r="L213" s="78"/>
      <c r="M213" s="70"/>
    </row>
    <row r="214" spans="2:13" x14ac:dyDescent="0.2">
      <c r="B214" s="69"/>
      <c r="F214" s="70"/>
      <c r="H214" s="71"/>
      <c r="J214" s="72"/>
      <c r="L214" s="78"/>
      <c r="M214" s="70"/>
    </row>
    <row r="215" spans="2:13" x14ac:dyDescent="0.2">
      <c r="B215" s="69"/>
      <c r="F215" s="70"/>
      <c r="H215" s="71"/>
      <c r="J215" s="72"/>
      <c r="L215" s="78"/>
      <c r="M215" s="70"/>
    </row>
    <row r="216" spans="2:13" x14ac:dyDescent="0.2">
      <c r="B216" s="69"/>
      <c r="F216" s="70"/>
      <c r="H216" s="71"/>
      <c r="J216" s="72"/>
      <c r="L216" s="78"/>
      <c r="M216" s="70"/>
    </row>
    <row r="217" spans="2:13" x14ac:dyDescent="0.2">
      <c r="B217" s="69"/>
      <c r="F217" s="70"/>
      <c r="H217" s="71"/>
      <c r="J217" s="72"/>
      <c r="L217" s="78"/>
      <c r="M217" s="70"/>
    </row>
    <row r="218" spans="2:13" x14ac:dyDescent="0.2">
      <c r="B218" s="69"/>
      <c r="F218" s="70"/>
      <c r="H218" s="71"/>
      <c r="J218" s="72"/>
      <c r="L218" s="78"/>
      <c r="M218" s="70"/>
    </row>
    <row r="219" spans="2:13" x14ac:dyDescent="0.2">
      <c r="B219" s="69"/>
      <c r="F219" s="70"/>
      <c r="H219" s="71"/>
      <c r="J219" s="72"/>
      <c r="L219" s="78"/>
      <c r="M219" s="70"/>
    </row>
    <row r="220" spans="2:13" x14ac:dyDescent="0.2">
      <c r="B220" s="69"/>
      <c r="F220" s="70"/>
      <c r="H220" s="71"/>
      <c r="J220" s="72"/>
      <c r="L220" s="78"/>
      <c r="M220" s="70"/>
    </row>
    <row r="221" spans="2:13" x14ac:dyDescent="0.2">
      <c r="B221" s="69"/>
      <c r="F221" s="70"/>
      <c r="H221" s="71"/>
      <c r="J221" s="72"/>
      <c r="L221" s="78"/>
      <c r="M221" s="70"/>
    </row>
    <row r="222" spans="2:13" x14ac:dyDescent="0.2">
      <c r="B222" s="69"/>
      <c r="F222" s="70"/>
      <c r="H222" s="71"/>
      <c r="J222" s="72"/>
      <c r="L222" s="78"/>
      <c r="M222" s="70"/>
    </row>
    <row r="223" spans="2:13" x14ac:dyDescent="0.2">
      <c r="B223" s="69"/>
      <c r="F223" s="70"/>
      <c r="H223" s="71"/>
      <c r="J223" s="72"/>
      <c r="L223" s="78"/>
      <c r="M223" s="70"/>
    </row>
    <row r="224" spans="2:13" x14ac:dyDescent="0.2">
      <c r="B224" s="69"/>
      <c r="F224" s="70"/>
      <c r="H224" s="71"/>
      <c r="J224" s="72"/>
      <c r="L224" s="78"/>
      <c r="M224" s="70"/>
    </row>
    <row r="225" spans="2:13" x14ac:dyDescent="0.2">
      <c r="B225" s="69"/>
      <c r="F225" s="70"/>
      <c r="H225" s="71"/>
      <c r="J225" s="72"/>
      <c r="L225" s="78"/>
      <c r="M225" s="70"/>
    </row>
    <row r="226" spans="2:13" x14ac:dyDescent="0.2">
      <c r="B226" s="69"/>
      <c r="F226" s="70"/>
      <c r="H226" s="71"/>
      <c r="J226" s="72"/>
      <c r="L226" s="78"/>
      <c r="M226" s="70"/>
    </row>
    <row r="227" spans="2:13" x14ac:dyDescent="0.2">
      <c r="B227" s="69"/>
      <c r="F227" s="70"/>
      <c r="H227" s="71"/>
      <c r="J227" s="72"/>
      <c r="L227" s="78"/>
      <c r="M227" s="70"/>
    </row>
    <row r="228" spans="2:13" x14ac:dyDescent="0.2">
      <c r="B228" s="69"/>
      <c r="F228" s="70"/>
      <c r="H228" s="71"/>
      <c r="J228" s="72"/>
      <c r="L228" s="78"/>
      <c r="M228" s="70"/>
    </row>
    <row r="229" spans="2:13" x14ac:dyDescent="0.2">
      <c r="B229" s="69"/>
      <c r="F229" s="70"/>
      <c r="H229" s="71"/>
      <c r="J229" s="72"/>
      <c r="L229" s="78"/>
      <c r="M229" s="70"/>
    </row>
    <row r="230" spans="2:13" x14ac:dyDescent="0.2">
      <c r="B230" s="69"/>
      <c r="F230" s="70"/>
      <c r="H230" s="71"/>
      <c r="J230" s="72"/>
      <c r="L230" s="78"/>
      <c r="M230" s="70"/>
    </row>
    <row r="231" spans="2:13" x14ac:dyDescent="0.2">
      <c r="B231" s="69"/>
      <c r="F231" s="70"/>
      <c r="H231" s="71"/>
      <c r="J231" s="72"/>
      <c r="L231" s="78"/>
      <c r="M231" s="70"/>
    </row>
    <row r="232" spans="2:13" x14ac:dyDescent="0.2">
      <c r="B232" s="69"/>
      <c r="F232" s="70"/>
      <c r="H232" s="71"/>
      <c r="J232" s="72"/>
      <c r="L232" s="78"/>
      <c r="M232" s="70"/>
    </row>
    <row r="233" spans="2:13" x14ac:dyDescent="0.2">
      <c r="B233" s="69"/>
      <c r="F233" s="70"/>
      <c r="H233" s="71"/>
      <c r="J233" s="72"/>
      <c r="L233" s="78"/>
      <c r="M233" s="70"/>
    </row>
    <row r="234" spans="2:13" x14ac:dyDescent="0.2">
      <c r="B234" s="69"/>
      <c r="F234" s="70"/>
      <c r="H234" s="71"/>
      <c r="J234" s="72"/>
      <c r="L234" s="78"/>
      <c r="M234" s="70"/>
    </row>
    <row r="235" spans="2:13" x14ac:dyDescent="0.2">
      <c r="B235" s="69"/>
      <c r="F235" s="70"/>
      <c r="H235" s="71"/>
      <c r="J235" s="72"/>
      <c r="L235" s="78"/>
      <c r="M235" s="70"/>
    </row>
    <row r="236" spans="2:13" x14ac:dyDescent="0.2">
      <c r="B236" s="69"/>
      <c r="F236" s="70"/>
      <c r="H236" s="71"/>
      <c r="J236" s="72"/>
      <c r="L236" s="78"/>
      <c r="M236" s="70"/>
    </row>
    <row r="237" spans="2:13" x14ac:dyDescent="0.2">
      <c r="B237" s="69"/>
      <c r="F237" s="70"/>
      <c r="H237" s="71"/>
      <c r="J237" s="72"/>
      <c r="L237" s="78"/>
      <c r="M237" s="70"/>
    </row>
    <row r="238" spans="2:13" x14ac:dyDescent="0.2">
      <c r="B238" s="69"/>
      <c r="F238" s="70"/>
      <c r="H238" s="71"/>
      <c r="J238" s="72"/>
      <c r="L238" s="78"/>
      <c r="M238" s="70"/>
    </row>
    <row r="239" spans="2:13" x14ac:dyDescent="0.2">
      <c r="B239" s="69"/>
      <c r="F239" s="70"/>
      <c r="H239" s="71"/>
      <c r="J239" s="72"/>
      <c r="L239" s="78"/>
      <c r="M239" s="70"/>
    </row>
    <row r="240" spans="2:13" x14ac:dyDescent="0.2">
      <c r="B240" s="69"/>
      <c r="F240" s="70"/>
      <c r="H240" s="71"/>
      <c r="J240" s="72"/>
      <c r="L240" s="78"/>
      <c r="M240" s="70"/>
    </row>
    <row r="241" spans="2:13" x14ac:dyDescent="0.2">
      <c r="B241" s="69"/>
      <c r="F241" s="70"/>
      <c r="H241" s="71"/>
      <c r="J241" s="72"/>
      <c r="L241" s="78"/>
      <c r="M241" s="70"/>
    </row>
    <row r="242" spans="2:13" x14ac:dyDescent="0.2">
      <c r="B242" s="69"/>
      <c r="F242" s="70"/>
      <c r="H242" s="71"/>
      <c r="J242" s="72"/>
      <c r="L242" s="78"/>
      <c r="M242" s="70"/>
    </row>
    <row r="243" spans="2:13" x14ac:dyDescent="0.2">
      <c r="B243" s="69"/>
      <c r="F243" s="70"/>
      <c r="H243" s="71"/>
      <c r="J243" s="72"/>
      <c r="L243" s="78"/>
      <c r="M243" s="70"/>
    </row>
    <row r="244" spans="2:13" x14ac:dyDescent="0.2">
      <c r="B244" s="69"/>
      <c r="F244" s="70"/>
      <c r="H244" s="71"/>
      <c r="J244" s="72"/>
      <c r="L244" s="78"/>
      <c r="M244" s="70"/>
    </row>
    <row r="245" spans="2:13" x14ac:dyDescent="0.2">
      <c r="B245" s="69"/>
      <c r="F245" s="70"/>
      <c r="H245" s="71"/>
      <c r="J245" s="72"/>
      <c r="L245" s="78"/>
      <c r="M245" s="70"/>
    </row>
    <row r="246" spans="2:13" x14ac:dyDescent="0.2">
      <c r="B246" s="69"/>
      <c r="F246" s="70"/>
      <c r="H246" s="71"/>
      <c r="J246" s="72"/>
      <c r="L246" s="78"/>
      <c r="M246" s="70"/>
    </row>
    <row r="247" spans="2:13" x14ac:dyDescent="0.2">
      <c r="B247" s="69"/>
      <c r="F247" s="70"/>
      <c r="H247" s="71"/>
      <c r="J247" s="72"/>
      <c r="L247" s="78"/>
      <c r="M247" s="70"/>
    </row>
    <row r="248" spans="2:13" x14ac:dyDescent="0.2">
      <c r="B248" s="69"/>
      <c r="F248" s="70"/>
      <c r="H248" s="71"/>
      <c r="J248" s="72"/>
      <c r="L248" s="78"/>
      <c r="M248" s="70"/>
    </row>
    <row r="249" spans="2:13" x14ac:dyDescent="0.2">
      <c r="B249" s="69"/>
      <c r="F249" s="70"/>
      <c r="H249" s="71"/>
      <c r="J249" s="72"/>
      <c r="L249" s="78"/>
      <c r="M249" s="70"/>
    </row>
    <row r="250" spans="2:13" x14ac:dyDescent="0.2">
      <c r="B250" s="69"/>
      <c r="F250" s="70"/>
      <c r="H250" s="71"/>
      <c r="J250" s="72"/>
      <c r="L250" s="78"/>
      <c r="M250" s="70"/>
    </row>
    <row r="251" spans="2:13" x14ac:dyDescent="0.2">
      <c r="B251" s="69"/>
      <c r="F251" s="70"/>
      <c r="H251" s="71"/>
      <c r="J251" s="72"/>
      <c r="L251" s="78"/>
      <c r="M251" s="70"/>
    </row>
    <row r="252" spans="2:13" x14ac:dyDescent="0.2">
      <c r="B252" s="69"/>
      <c r="F252" s="70"/>
      <c r="H252" s="71"/>
      <c r="J252" s="72"/>
      <c r="L252" s="78"/>
      <c r="M252" s="70"/>
    </row>
    <row r="253" spans="2:13" x14ac:dyDescent="0.2">
      <c r="B253" s="69"/>
      <c r="F253" s="70"/>
      <c r="H253" s="71"/>
      <c r="J253" s="72"/>
      <c r="L253" s="78"/>
      <c r="M253" s="70"/>
    </row>
    <row r="254" spans="2:13" x14ac:dyDescent="0.2">
      <c r="B254" s="69"/>
      <c r="F254" s="70"/>
      <c r="H254" s="71"/>
      <c r="J254" s="72"/>
      <c r="L254" s="78"/>
      <c r="M254" s="70"/>
    </row>
    <row r="255" spans="2:13" x14ac:dyDescent="0.2">
      <c r="B255" s="69"/>
      <c r="F255" s="70"/>
      <c r="H255" s="71"/>
      <c r="J255" s="72"/>
      <c r="L255" s="78"/>
      <c r="M255" s="70"/>
    </row>
    <row r="256" spans="2:13" x14ac:dyDescent="0.2">
      <c r="B256" s="69"/>
      <c r="F256" s="70"/>
      <c r="H256" s="71"/>
      <c r="J256" s="72"/>
      <c r="L256" s="78"/>
      <c r="M256" s="70"/>
    </row>
    <row r="257" spans="2:13" x14ac:dyDescent="0.2">
      <c r="B257" s="69"/>
      <c r="F257" s="70"/>
      <c r="H257" s="71"/>
      <c r="J257" s="72"/>
      <c r="L257" s="78"/>
      <c r="M257" s="70"/>
    </row>
    <row r="258" spans="2:13" x14ac:dyDescent="0.2">
      <c r="B258" s="69"/>
      <c r="F258" s="70"/>
      <c r="H258" s="71"/>
      <c r="J258" s="72"/>
      <c r="L258" s="78"/>
      <c r="M258" s="70"/>
    </row>
    <row r="259" spans="2:13" x14ac:dyDescent="0.2">
      <c r="B259" s="69"/>
      <c r="F259" s="70"/>
      <c r="H259" s="71"/>
      <c r="J259" s="72"/>
      <c r="L259" s="78"/>
      <c r="M259" s="70"/>
    </row>
    <row r="260" spans="2:13" x14ac:dyDescent="0.2">
      <c r="B260" s="69"/>
      <c r="F260" s="70"/>
      <c r="H260" s="71"/>
      <c r="J260" s="72"/>
      <c r="L260" s="78"/>
      <c r="M260" s="70"/>
    </row>
    <row r="261" spans="2:13" x14ac:dyDescent="0.2">
      <c r="B261" s="69"/>
      <c r="F261" s="70"/>
      <c r="H261" s="71"/>
      <c r="J261" s="72"/>
      <c r="L261" s="78"/>
      <c r="M261" s="70"/>
    </row>
    <row r="262" spans="2:13" x14ac:dyDescent="0.2">
      <c r="B262" s="69"/>
      <c r="F262" s="70"/>
      <c r="H262" s="71"/>
      <c r="J262" s="72"/>
      <c r="L262" s="78"/>
      <c r="M262" s="70"/>
    </row>
    <row r="263" spans="2:13" x14ac:dyDescent="0.2">
      <c r="B263" s="69"/>
      <c r="F263" s="70"/>
      <c r="H263" s="71"/>
      <c r="J263" s="72"/>
      <c r="L263" s="78"/>
      <c r="M263" s="70"/>
    </row>
    <row r="264" spans="2:13" x14ac:dyDescent="0.2">
      <c r="B264" s="69"/>
      <c r="F264" s="70"/>
      <c r="H264" s="71"/>
      <c r="J264" s="72"/>
      <c r="L264" s="78"/>
      <c r="M264" s="70"/>
    </row>
    <row r="265" spans="2:13" x14ac:dyDescent="0.2">
      <c r="B265" s="69"/>
      <c r="F265" s="70"/>
      <c r="H265" s="71"/>
      <c r="J265" s="72"/>
      <c r="L265" s="78"/>
      <c r="M265" s="70"/>
    </row>
    <row r="266" spans="2:13" x14ac:dyDescent="0.2">
      <c r="B266" s="69"/>
      <c r="F266" s="70"/>
      <c r="H266" s="71"/>
      <c r="J266" s="72"/>
      <c r="L266" s="78"/>
      <c r="M266" s="70"/>
    </row>
    <row r="267" spans="2:13" x14ac:dyDescent="0.2">
      <c r="B267" s="69"/>
      <c r="F267" s="70"/>
      <c r="H267" s="71"/>
      <c r="J267" s="72"/>
      <c r="L267" s="78"/>
      <c r="M267" s="70"/>
    </row>
    <row r="268" spans="2:13" x14ac:dyDescent="0.2">
      <c r="B268" s="69"/>
      <c r="F268" s="70"/>
      <c r="H268" s="71"/>
      <c r="J268" s="72"/>
      <c r="L268" s="78"/>
      <c r="M268" s="70"/>
    </row>
    <row r="269" spans="2:13" x14ac:dyDescent="0.2">
      <c r="B269" s="69"/>
      <c r="F269" s="70"/>
      <c r="H269" s="71"/>
      <c r="J269" s="72"/>
      <c r="L269" s="78"/>
      <c r="M269" s="70"/>
    </row>
    <row r="270" spans="2:13" x14ac:dyDescent="0.2">
      <c r="B270" s="69"/>
      <c r="F270" s="70"/>
      <c r="H270" s="71"/>
      <c r="J270" s="72"/>
      <c r="L270" s="78"/>
      <c r="M270" s="70"/>
    </row>
    <row r="271" spans="2:13" x14ac:dyDescent="0.2">
      <c r="B271" s="69"/>
      <c r="F271" s="70"/>
      <c r="H271" s="71"/>
      <c r="J271" s="72"/>
      <c r="L271" s="78"/>
      <c r="M271" s="70"/>
    </row>
    <row r="272" spans="2:13" x14ac:dyDescent="0.2">
      <c r="B272" s="69"/>
      <c r="F272" s="70"/>
      <c r="H272" s="71"/>
      <c r="J272" s="72"/>
      <c r="L272" s="78"/>
      <c r="M272" s="70"/>
    </row>
    <row r="273" spans="2:13" x14ac:dyDescent="0.2">
      <c r="B273" s="69"/>
      <c r="F273" s="70"/>
      <c r="H273" s="71"/>
      <c r="J273" s="72"/>
      <c r="L273" s="78"/>
      <c r="M273" s="70"/>
    </row>
    <row r="274" spans="2:13" x14ac:dyDescent="0.2">
      <c r="B274" s="69"/>
      <c r="F274" s="70"/>
      <c r="H274" s="71"/>
      <c r="J274" s="72"/>
      <c r="L274" s="78"/>
      <c r="M274" s="70"/>
    </row>
    <row r="275" spans="2:13" x14ac:dyDescent="0.2">
      <c r="B275" s="69"/>
      <c r="F275" s="70"/>
      <c r="H275" s="71"/>
      <c r="J275" s="72"/>
      <c r="L275" s="78"/>
      <c r="M275" s="70"/>
    </row>
    <row r="276" spans="2:13" x14ac:dyDescent="0.2">
      <c r="B276" s="69"/>
      <c r="F276" s="70"/>
      <c r="H276" s="71"/>
      <c r="J276" s="72"/>
      <c r="L276" s="78"/>
      <c r="M276" s="70"/>
    </row>
    <row r="277" spans="2:13" x14ac:dyDescent="0.2">
      <c r="B277" s="69"/>
      <c r="F277" s="70"/>
      <c r="H277" s="71"/>
      <c r="J277" s="72"/>
      <c r="L277" s="78"/>
      <c r="M277" s="70"/>
    </row>
    <row r="278" spans="2:13" x14ac:dyDescent="0.2">
      <c r="B278" s="69"/>
      <c r="F278" s="70"/>
      <c r="H278" s="71"/>
      <c r="J278" s="72"/>
      <c r="L278" s="78"/>
      <c r="M278" s="70"/>
    </row>
    <row r="279" spans="2:13" x14ac:dyDescent="0.2">
      <c r="B279" s="69"/>
      <c r="F279" s="70"/>
      <c r="H279" s="71"/>
      <c r="J279" s="72"/>
      <c r="L279" s="78"/>
      <c r="M279" s="70"/>
    </row>
    <row r="280" spans="2:13" x14ac:dyDescent="0.2">
      <c r="B280" s="69"/>
      <c r="F280" s="70"/>
      <c r="H280" s="71"/>
      <c r="J280" s="72"/>
      <c r="L280" s="78"/>
      <c r="M280" s="70"/>
    </row>
    <row r="281" spans="2:13" x14ac:dyDescent="0.2">
      <c r="B281" s="69"/>
      <c r="F281" s="70"/>
      <c r="H281" s="71"/>
      <c r="J281" s="72"/>
      <c r="L281" s="78"/>
      <c r="M281" s="70"/>
    </row>
    <row r="282" spans="2:13" x14ac:dyDescent="0.2">
      <c r="B282" s="69"/>
      <c r="F282" s="70"/>
      <c r="H282" s="71"/>
      <c r="J282" s="72"/>
      <c r="L282" s="78"/>
      <c r="M282" s="70"/>
    </row>
    <row r="283" spans="2:13" x14ac:dyDescent="0.2">
      <c r="B283" s="69"/>
      <c r="F283" s="70"/>
      <c r="H283" s="71"/>
      <c r="J283" s="72"/>
      <c r="L283" s="78"/>
      <c r="M283" s="70"/>
    </row>
    <row r="284" spans="2:13" x14ac:dyDescent="0.2">
      <c r="B284" s="69"/>
      <c r="F284" s="70"/>
      <c r="H284" s="71"/>
      <c r="J284" s="72"/>
      <c r="L284" s="78"/>
      <c r="M284" s="70"/>
    </row>
    <row r="285" spans="2:13" x14ac:dyDescent="0.2">
      <c r="B285" s="69"/>
      <c r="F285" s="70"/>
      <c r="H285" s="71"/>
      <c r="J285" s="72"/>
      <c r="L285" s="78"/>
      <c r="M285" s="70"/>
    </row>
    <row r="286" spans="2:13" x14ac:dyDescent="0.2">
      <c r="B286" s="69"/>
      <c r="F286" s="70"/>
      <c r="H286" s="71"/>
      <c r="J286" s="72"/>
      <c r="L286" s="78"/>
      <c r="M286" s="70"/>
    </row>
    <row r="287" spans="2:13" x14ac:dyDescent="0.2">
      <c r="B287" s="69"/>
      <c r="F287" s="70"/>
      <c r="H287" s="71"/>
      <c r="J287" s="72"/>
      <c r="L287" s="78"/>
      <c r="M287" s="70"/>
    </row>
    <row r="288" spans="2:13" x14ac:dyDescent="0.2">
      <c r="B288" s="69"/>
      <c r="F288" s="70"/>
      <c r="H288" s="71"/>
      <c r="J288" s="72"/>
      <c r="L288" s="78"/>
      <c r="M288" s="70"/>
    </row>
    <row r="289" spans="2:13" x14ac:dyDescent="0.2">
      <c r="B289" s="69"/>
      <c r="F289" s="70"/>
      <c r="H289" s="71"/>
      <c r="J289" s="72"/>
      <c r="L289" s="78"/>
      <c r="M289" s="70"/>
    </row>
    <row r="290" spans="2:13" x14ac:dyDescent="0.2">
      <c r="B290" s="69"/>
      <c r="F290" s="70"/>
      <c r="H290" s="71"/>
      <c r="J290" s="72"/>
      <c r="L290" s="78"/>
      <c r="M290" s="70"/>
    </row>
    <row r="291" spans="2:13" x14ac:dyDescent="0.2">
      <c r="B291" s="69"/>
      <c r="F291" s="70"/>
      <c r="H291" s="71"/>
      <c r="J291" s="72"/>
      <c r="L291" s="78"/>
      <c r="M291" s="70"/>
    </row>
    <row r="292" spans="2:13" x14ac:dyDescent="0.2">
      <c r="B292" s="69"/>
      <c r="F292" s="70"/>
      <c r="H292" s="71"/>
      <c r="J292" s="72"/>
      <c r="L292" s="78"/>
      <c r="M292" s="70"/>
    </row>
    <row r="293" spans="2:13" x14ac:dyDescent="0.2">
      <c r="B293" s="69"/>
      <c r="F293" s="70"/>
      <c r="H293" s="71"/>
      <c r="J293" s="72"/>
      <c r="L293" s="78"/>
      <c r="M293" s="70"/>
    </row>
    <row r="294" spans="2:13" x14ac:dyDescent="0.2">
      <c r="B294" s="69"/>
      <c r="F294" s="70"/>
      <c r="H294" s="71"/>
      <c r="J294" s="72"/>
      <c r="L294" s="78"/>
      <c r="M294" s="70"/>
    </row>
    <row r="295" spans="2:13" x14ac:dyDescent="0.2">
      <c r="B295" s="69"/>
      <c r="F295" s="70"/>
      <c r="H295" s="71"/>
      <c r="J295" s="72"/>
      <c r="L295" s="78"/>
      <c r="M295" s="70"/>
    </row>
    <row r="296" spans="2:13" x14ac:dyDescent="0.2">
      <c r="B296" s="69"/>
      <c r="F296" s="70"/>
      <c r="H296" s="71"/>
      <c r="J296" s="72"/>
      <c r="L296" s="78"/>
      <c r="M296" s="70"/>
    </row>
    <row r="297" spans="2:13" x14ac:dyDescent="0.2">
      <c r="B297" s="69"/>
      <c r="F297" s="70"/>
      <c r="H297" s="71"/>
      <c r="J297" s="72"/>
      <c r="L297" s="78"/>
      <c r="M297" s="70"/>
    </row>
    <row r="298" spans="2:13" x14ac:dyDescent="0.2">
      <c r="B298" s="69"/>
      <c r="F298" s="70"/>
      <c r="H298" s="71"/>
      <c r="J298" s="72"/>
      <c r="L298" s="78"/>
      <c r="M298" s="70"/>
    </row>
    <row r="299" spans="2:13" x14ac:dyDescent="0.2">
      <c r="B299" s="69"/>
      <c r="F299" s="70"/>
      <c r="H299" s="71"/>
      <c r="J299" s="72"/>
      <c r="L299" s="78"/>
      <c r="M299" s="70"/>
    </row>
    <row r="300" spans="2:13" x14ac:dyDescent="0.2">
      <c r="B300" s="69"/>
      <c r="F300" s="70"/>
      <c r="H300" s="71"/>
      <c r="J300" s="72"/>
      <c r="L300" s="78"/>
      <c r="M300" s="70"/>
    </row>
    <row r="301" spans="2:13" x14ac:dyDescent="0.2">
      <c r="B301" s="69"/>
      <c r="F301" s="70"/>
      <c r="H301" s="71"/>
      <c r="J301" s="72"/>
      <c r="L301" s="78"/>
      <c r="M301" s="70"/>
    </row>
    <row r="302" spans="2:13" x14ac:dyDescent="0.2">
      <c r="B302" s="69"/>
      <c r="F302" s="70"/>
      <c r="H302" s="71"/>
      <c r="J302" s="72"/>
      <c r="L302" s="78"/>
      <c r="M302" s="70"/>
    </row>
    <row r="303" spans="2:13" x14ac:dyDescent="0.2">
      <c r="B303" s="69"/>
      <c r="F303" s="70"/>
      <c r="H303" s="71"/>
      <c r="J303" s="72"/>
      <c r="L303" s="78"/>
      <c r="M303" s="70"/>
    </row>
    <row r="304" spans="2:13" x14ac:dyDescent="0.2">
      <c r="B304" s="69"/>
      <c r="F304" s="70"/>
      <c r="H304" s="71"/>
      <c r="J304" s="72"/>
      <c r="L304" s="78"/>
      <c r="M304" s="70"/>
    </row>
    <row r="305" spans="2:13" x14ac:dyDescent="0.2">
      <c r="B305" s="69"/>
      <c r="F305" s="70"/>
      <c r="H305" s="71"/>
      <c r="J305" s="72"/>
      <c r="L305" s="78"/>
      <c r="M305" s="70"/>
    </row>
    <row r="306" spans="2:13" x14ac:dyDescent="0.2">
      <c r="B306" s="69"/>
      <c r="F306" s="70"/>
      <c r="H306" s="71"/>
      <c r="J306" s="72"/>
      <c r="L306" s="78"/>
      <c r="M306" s="70"/>
    </row>
    <row r="307" spans="2:13" x14ac:dyDescent="0.2">
      <c r="B307" s="69"/>
      <c r="F307" s="70"/>
      <c r="H307" s="71"/>
      <c r="J307" s="72"/>
      <c r="L307" s="78"/>
      <c r="M307" s="70"/>
    </row>
    <row r="308" spans="2:13" x14ac:dyDescent="0.2">
      <c r="B308" s="69"/>
      <c r="F308" s="70"/>
      <c r="H308" s="71"/>
      <c r="J308" s="72"/>
      <c r="L308" s="78"/>
      <c r="M308" s="70"/>
    </row>
    <row r="309" spans="2:13" x14ac:dyDescent="0.2">
      <c r="B309" s="69"/>
      <c r="F309" s="70"/>
      <c r="H309" s="71"/>
      <c r="J309" s="72"/>
      <c r="L309" s="78"/>
      <c r="M309" s="70"/>
    </row>
    <row r="310" spans="2:13" x14ac:dyDescent="0.2">
      <c r="B310" s="69"/>
      <c r="F310" s="70"/>
      <c r="H310" s="71"/>
      <c r="J310" s="72"/>
      <c r="L310" s="78"/>
      <c r="M310" s="70"/>
    </row>
    <row r="311" spans="2:13" x14ac:dyDescent="0.2">
      <c r="B311" s="69"/>
      <c r="F311" s="70"/>
      <c r="H311" s="71"/>
      <c r="J311" s="72"/>
      <c r="L311" s="78"/>
      <c r="M311" s="70"/>
    </row>
    <row r="312" spans="2:13" x14ac:dyDescent="0.2">
      <c r="B312" s="69"/>
      <c r="F312" s="70"/>
      <c r="H312" s="71"/>
      <c r="J312" s="72"/>
      <c r="L312" s="78"/>
      <c r="M312" s="70"/>
    </row>
    <row r="313" spans="2:13" x14ac:dyDescent="0.2">
      <c r="B313" s="69"/>
      <c r="F313" s="70"/>
      <c r="H313" s="71"/>
      <c r="J313" s="72"/>
      <c r="L313" s="78"/>
      <c r="M313" s="70"/>
    </row>
    <row r="314" spans="2:13" x14ac:dyDescent="0.2">
      <c r="B314" s="69"/>
      <c r="F314" s="70"/>
      <c r="H314" s="71"/>
      <c r="J314" s="72"/>
      <c r="L314" s="78"/>
      <c r="M314" s="70"/>
    </row>
    <row r="315" spans="2:13" x14ac:dyDescent="0.2">
      <c r="B315" s="69"/>
      <c r="F315" s="70"/>
      <c r="H315" s="71"/>
      <c r="J315" s="72"/>
      <c r="L315" s="78"/>
      <c r="M315" s="70"/>
    </row>
    <row r="316" spans="2:13" x14ac:dyDescent="0.2">
      <c r="B316" s="69"/>
      <c r="F316" s="70"/>
      <c r="H316" s="71"/>
      <c r="J316" s="72"/>
      <c r="L316" s="78"/>
      <c r="M316" s="70"/>
    </row>
    <row r="317" spans="2:13" x14ac:dyDescent="0.2">
      <c r="B317" s="69"/>
      <c r="F317" s="70"/>
      <c r="H317" s="71"/>
      <c r="J317" s="72"/>
      <c r="L317" s="78"/>
      <c r="M317" s="70"/>
    </row>
    <row r="318" spans="2:13" x14ac:dyDescent="0.2">
      <c r="B318" s="69"/>
      <c r="F318" s="70"/>
      <c r="H318" s="71"/>
      <c r="J318" s="72"/>
      <c r="L318" s="78"/>
      <c r="M318" s="70"/>
    </row>
    <row r="319" spans="2:13" x14ac:dyDescent="0.2">
      <c r="B319" s="69"/>
      <c r="F319" s="70"/>
      <c r="H319" s="71"/>
      <c r="J319" s="72"/>
      <c r="L319" s="78"/>
      <c r="M319" s="70"/>
    </row>
    <row r="320" spans="2:13" x14ac:dyDescent="0.2">
      <c r="B320" s="69"/>
      <c r="F320" s="70"/>
      <c r="H320" s="71"/>
      <c r="J320" s="72"/>
      <c r="L320" s="78"/>
      <c r="M320" s="70"/>
    </row>
    <row r="321" spans="2:13" x14ac:dyDescent="0.2">
      <c r="B321" s="69"/>
      <c r="F321" s="70"/>
      <c r="H321" s="71"/>
      <c r="J321" s="72"/>
      <c r="L321" s="78"/>
      <c r="M321" s="70"/>
    </row>
    <row r="322" spans="2:13" x14ac:dyDescent="0.2">
      <c r="B322" s="69"/>
      <c r="F322" s="70"/>
      <c r="H322" s="71"/>
      <c r="J322" s="72"/>
      <c r="L322" s="78"/>
      <c r="M322" s="70"/>
    </row>
    <row r="323" spans="2:13" x14ac:dyDescent="0.2">
      <c r="B323" s="69"/>
      <c r="F323" s="70"/>
      <c r="H323" s="71"/>
      <c r="J323" s="72"/>
      <c r="L323" s="78"/>
      <c r="M323" s="70"/>
    </row>
    <row r="324" spans="2:13" x14ac:dyDescent="0.2">
      <c r="B324" s="69"/>
      <c r="F324" s="70"/>
      <c r="H324" s="71"/>
      <c r="J324" s="72"/>
      <c r="L324" s="78"/>
      <c r="M324" s="70"/>
    </row>
    <row r="325" spans="2:13" x14ac:dyDescent="0.2">
      <c r="B325" s="69"/>
      <c r="F325" s="70"/>
      <c r="H325" s="71"/>
      <c r="J325" s="72"/>
      <c r="L325" s="78"/>
      <c r="M325" s="70"/>
    </row>
    <row r="326" spans="2:13" x14ac:dyDescent="0.2">
      <c r="B326" s="69"/>
      <c r="F326" s="70"/>
      <c r="H326" s="71"/>
      <c r="J326" s="72"/>
      <c r="L326" s="78"/>
      <c r="M326" s="70"/>
    </row>
    <row r="327" spans="2:13" x14ac:dyDescent="0.2">
      <c r="B327" s="69"/>
      <c r="F327" s="70"/>
      <c r="H327" s="71"/>
      <c r="J327" s="72"/>
      <c r="L327" s="78"/>
      <c r="M327" s="70"/>
    </row>
    <row r="328" spans="2:13" x14ac:dyDescent="0.2">
      <c r="B328" s="69"/>
      <c r="F328" s="70"/>
      <c r="H328" s="71"/>
      <c r="J328" s="72"/>
      <c r="L328" s="78"/>
      <c r="M328" s="70"/>
    </row>
    <row r="329" spans="2:13" x14ac:dyDescent="0.2">
      <c r="B329" s="69"/>
      <c r="F329" s="70"/>
      <c r="H329" s="71"/>
      <c r="J329" s="72"/>
      <c r="L329" s="78"/>
      <c r="M329" s="70"/>
    </row>
    <row r="330" spans="2:13" x14ac:dyDescent="0.2">
      <c r="B330" s="69"/>
      <c r="F330" s="70"/>
      <c r="H330" s="71"/>
      <c r="J330" s="72"/>
      <c r="L330" s="78"/>
      <c r="M330" s="70"/>
    </row>
    <row r="331" spans="2:13" x14ac:dyDescent="0.2">
      <c r="B331" s="69"/>
      <c r="F331" s="70"/>
      <c r="H331" s="71"/>
      <c r="J331" s="72"/>
      <c r="L331" s="78"/>
      <c r="M331" s="70"/>
    </row>
    <row r="332" spans="2:13" x14ac:dyDescent="0.2">
      <c r="B332" s="69"/>
      <c r="F332" s="70"/>
      <c r="H332" s="71"/>
      <c r="J332" s="72"/>
      <c r="L332" s="78"/>
      <c r="M332" s="70"/>
    </row>
    <row r="333" spans="2:13" x14ac:dyDescent="0.2">
      <c r="B333" s="69"/>
      <c r="F333" s="70"/>
      <c r="H333" s="71"/>
      <c r="J333" s="72"/>
      <c r="L333" s="78"/>
      <c r="M333" s="70"/>
    </row>
    <row r="334" spans="2:13" x14ac:dyDescent="0.2">
      <c r="B334" s="69"/>
      <c r="F334" s="70"/>
      <c r="H334" s="71"/>
      <c r="J334" s="72"/>
      <c r="L334" s="78"/>
      <c r="M334" s="70"/>
    </row>
    <row r="335" spans="2:13" x14ac:dyDescent="0.2">
      <c r="B335" s="69"/>
      <c r="F335" s="70"/>
      <c r="H335" s="71"/>
      <c r="J335" s="72"/>
      <c r="L335" s="78"/>
      <c r="M335" s="70"/>
    </row>
    <row r="336" spans="2:13" x14ac:dyDescent="0.2">
      <c r="B336" s="69"/>
      <c r="F336" s="70"/>
      <c r="H336" s="71"/>
      <c r="J336" s="72"/>
      <c r="L336" s="78"/>
      <c r="M336" s="70"/>
    </row>
    <row r="337" spans="2:13" x14ac:dyDescent="0.2">
      <c r="B337" s="69"/>
      <c r="F337" s="70"/>
      <c r="H337" s="71"/>
      <c r="J337" s="72"/>
      <c r="L337" s="78"/>
      <c r="M337" s="70"/>
    </row>
    <row r="338" spans="2:13" x14ac:dyDescent="0.2">
      <c r="B338" s="69"/>
      <c r="F338" s="70"/>
      <c r="H338" s="71"/>
      <c r="J338" s="72"/>
      <c r="L338" s="78"/>
      <c r="M338" s="70"/>
    </row>
    <row r="339" spans="2:13" x14ac:dyDescent="0.2">
      <c r="B339" s="69"/>
      <c r="F339" s="70"/>
      <c r="H339" s="71"/>
      <c r="J339" s="72"/>
      <c r="L339" s="78"/>
      <c r="M339" s="70"/>
    </row>
    <row r="340" spans="2:13" x14ac:dyDescent="0.2">
      <c r="B340" s="69"/>
      <c r="F340" s="70"/>
      <c r="H340" s="71"/>
      <c r="J340" s="72"/>
      <c r="L340" s="78"/>
      <c r="M340" s="70"/>
    </row>
    <row r="341" spans="2:13" x14ac:dyDescent="0.2">
      <c r="B341" s="69"/>
      <c r="F341" s="70"/>
      <c r="H341" s="71"/>
      <c r="J341" s="72"/>
      <c r="L341" s="78"/>
      <c r="M341" s="70"/>
    </row>
    <row r="342" spans="2:13" x14ac:dyDescent="0.2">
      <c r="B342" s="69"/>
    </row>
    <row r="343" spans="2:13" x14ac:dyDescent="0.2">
      <c r="B343" s="69"/>
    </row>
    <row r="344" spans="2:13" x14ac:dyDescent="0.2">
      <c r="B344" s="69"/>
    </row>
    <row r="345" spans="2:13" x14ac:dyDescent="0.2">
      <c r="B345" s="69"/>
    </row>
    <row r="346" spans="2:13" x14ac:dyDescent="0.2">
      <c r="B346" s="69"/>
    </row>
    <row r="347" spans="2:13" x14ac:dyDescent="0.2">
      <c r="B347" s="69"/>
    </row>
    <row r="348" spans="2:13" x14ac:dyDescent="0.2">
      <c r="B348" s="69"/>
    </row>
    <row r="349" spans="2:13" x14ac:dyDescent="0.2">
      <c r="B349" s="69"/>
    </row>
    <row r="350" spans="2:13" x14ac:dyDescent="0.2">
      <c r="B350" s="69"/>
    </row>
    <row r="351" spans="2:13" x14ac:dyDescent="0.2">
      <c r="B351" s="69"/>
    </row>
    <row r="352" spans="2:13" x14ac:dyDescent="0.2">
      <c r="B352" s="69"/>
    </row>
    <row r="353" spans="2:2" x14ac:dyDescent="0.2">
      <c r="B353" s="69"/>
    </row>
    <row r="354" spans="2:2" x14ac:dyDescent="0.2">
      <c r="B354" s="69"/>
    </row>
    <row r="355" spans="2:2" x14ac:dyDescent="0.2">
      <c r="B355" s="69"/>
    </row>
    <row r="356" spans="2:2" x14ac:dyDescent="0.2">
      <c r="B356" s="69"/>
    </row>
    <row r="357" spans="2:2" x14ac:dyDescent="0.2">
      <c r="B357" s="69"/>
    </row>
    <row r="358" spans="2:2" x14ac:dyDescent="0.2">
      <c r="B358" s="69"/>
    </row>
    <row r="359" spans="2:2" x14ac:dyDescent="0.2">
      <c r="B359" s="69"/>
    </row>
    <row r="360" spans="2:2" x14ac:dyDescent="0.2">
      <c r="B360" s="69"/>
    </row>
    <row r="361" spans="2:2" x14ac:dyDescent="0.2">
      <c r="B361" s="69"/>
    </row>
    <row r="362" spans="2:2" x14ac:dyDescent="0.2">
      <c r="B362" s="69"/>
    </row>
    <row r="363" spans="2:2" x14ac:dyDescent="0.2">
      <c r="B363" s="69"/>
    </row>
    <row r="364" spans="2:2" x14ac:dyDescent="0.2">
      <c r="B364" s="69"/>
    </row>
    <row r="365" spans="2:2" x14ac:dyDescent="0.2">
      <c r="B365" s="69"/>
    </row>
    <row r="366" spans="2:2" x14ac:dyDescent="0.2">
      <c r="B366" s="69"/>
    </row>
  </sheetData>
  <phoneticPr fontId="0" type="noConversion"/>
  <pageMargins left="0.75" right="0.75" top="1" bottom="1" header="0.5" footer="0.5"/>
  <pageSetup scale="6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5"/>
  <sheetViews>
    <sheetView showGridLines="0" topLeftCell="E1" zoomScale="75" workbookViewId="0">
      <pane ySplit="4" topLeftCell="A766" activePane="bottomLeft" state="frozenSplit"/>
      <selection pane="bottomLeft" activeCell="G786" sqref="G786"/>
    </sheetView>
  </sheetViews>
  <sheetFormatPr defaultColWidth="11.7109375" defaultRowHeight="12.75" outlineLevelRow="1" outlineLevelCol="1" x14ac:dyDescent="0.2"/>
  <cols>
    <col min="1" max="1" width="9.140625" style="91" customWidth="1"/>
    <col min="2" max="2" width="20.140625" style="91" bestFit="1" customWidth="1"/>
    <col min="3" max="3" width="12.28515625" style="92" customWidth="1"/>
    <col min="4" max="4" width="26.42578125" style="41" customWidth="1"/>
    <col min="5" max="5" width="14.7109375" style="41" customWidth="1" outlineLevel="1"/>
    <col min="6" max="6" width="14.28515625" style="41" customWidth="1"/>
    <col min="7" max="7" width="15.5703125" style="41" customWidth="1"/>
    <col min="8" max="8" width="15.5703125" style="93" customWidth="1" outlineLevel="1"/>
    <col min="9" max="9" width="15.5703125" style="94" customWidth="1" outlineLevel="1"/>
    <col min="10" max="10" width="9.28515625" style="104" customWidth="1"/>
    <col min="11" max="11" width="14.7109375" style="96" customWidth="1"/>
    <col min="12" max="12" width="8" style="97" customWidth="1" outlineLevel="1"/>
    <col min="13" max="13" width="11.85546875" style="93" customWidth="1"/>
    <col min="14" max="14" width="11.85546875" style="99" customWidth="1" outlineLevel="1"/>
    <col min="15" max="15" width="15.85546875" style="62" customWidth="1" outlineLevel="1"/>
    <col min="16" max="16" width="9.28515625" style="41" customWidth="1"/>
    <col min="17" max="17" width="11.7109375" style="100" customWidth="1" outlineLevel="1"/>
    <col min="18" max="18" width="11.7109375" style="101" customWidth="1" outlineLevel="1"/>
    <col min="19" max="19" width="11.7109375" style="41" customWidth="1" outlineLevel="1"/>
    <col min="20" max="20" width="13.28515625" style="62" customWidth="1" outlineLevel="1"/>
    <col min="21" max="21" width="16.140625" style="102" customWidth="1" outlineLevel="1"/>
    <col min="22" max="22" width="11.7109375" style="102" customWidth="1" outlineLevel="1"/>
    <col min="23" max="23" width="11.7109375" style="41" customWidth="1" outlineLevel="1" collapsed="1"/>
    <col min="24" max="26" width="11.7109375" style="41" customWidth="1" outlineLevel="1"/>
    <col min="27" max="27" width="11.7109375" style="91" customWidth="1" outlineLevel="1"/>
    <col min="28" max="28" width="15" style="41" customWidth="1"/>
    <col min="29" max="16384" width="11.7109375" style="41"/>
  </cols>
  <sheetData>
    <row r="1" spans="1:28" s="22" customFormat="1" ht="32.25" thickBot="1" x14ac:dyDescent="0.25">
      <c r="A1" s="22" t="s">
        <v>41</v>
      </c>
      <c r="B1" s="22" t="s">
        <v>190</v>
      </c>
      <c r="C1" s="21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5" t="s">
        <v>195</v>
      </c>
      <c r="I1" s="46" t="s">
        <v>196</v>
      </c>
      <c r="J1" s="63" t="s">
        <v>5</v>
      </c>
      <c r="K1" s="23" t="s">
        <v>6</v>
      </c>
      <c r="L1" s="24" t="s">
        <v>7</v>
      </c>
      <c r="M1" s="25" t="s">
        <v>28</v>
      </c>
      <c r="N1" s="42" t="s">
        <v>184</v>
      </c>
      <c r="O1" s="46" t="s">
        <v>8</v>
      </c>
      <c r="Q1" s="27" t="s">
        <v>36</v>
      </c>
      <c r="R1" s="25" t="s">
        <v>37</v>
      </c>
      <c r="T1" s="46" t="s">
        <v>38</v>
      </c>
      <c r="U1" s="30" t="s">
        <v>39</v>
      </c>
      <c r="V1" s="30" t="s">
        <v>40</v>
      </c>
      <c r="Y1" s="22" t="s">
        <v>63</v>
      </c>
      <c r="Z1" s="22" t="s">
        <v>199</v>
      </c>
      <c r="AA1" s="22" t="s">
        <v>200</v>
      </c>
      <c r="AB1" s="22" t="s">
        <v>293</v>
      </c>
    </row>
    <row r="2" spans="1:28" x14ac:dyDescent="0.2">
      <c r="J2" s="95"/>
      <c r="M2" s="98"/>
    </row>
    <row r="3" spans="1:28" s="34" customFormat="1" ht="15.75" x14ac:dyDescent="0.25">
      <c r="A3" s="32" t="s">
        <v>129</v>
      </c>
      <c r="B3" s="32"/>
      <c r="C3" s="33"/>
      <c r="H3" s="35"/>
      <c r="I3" s="47"/>
      <c r="J3" s="64"/>
      <c r="K3" s="44">
        <f>SUM(K6:K10007)/1000000</f>
        <v>72.436556999999993</v>
      </c>
      <c r="L3" s="37" t="s">
        <v>188</v>
      </c>
      <c r="M3" s="35"/>
      <c r="N3" s="36">
        <f>SUM(N6:N10007)/1000</f>
        <v>259128.14148500006</v>
      </c>
      <c r="O3" s="103">
        <f>SUM(O6:O10007)</f>
        <v>1574442.185843965</v>
      </c>
      <c r="Q3" s="38"/>
      <c r="R3" s="39"/>
      <c r="T3" s="49"/>
      <c r="U3" s="40"/>
      <c r="V3" s="40"/>
      <c r="AA3" s="32"/>
    </row>
    <row r="4" spans="1:28" x14ac:dyDescent="0.2">
      <c r="J4" s="95"/>
      <c r="M4" s="98"/>
      <c r="N4" s="99" t="s">
        <v>294</v>
      </c>
      <c r="O4" s="94" t="s">
        <v>295</v>
      </c>
    </row>
    <row r="5" spans="1:28" s="3" customFormat="1" ht="15.75" x14ac:dyDescent="0.25">
      <c r="C5" s="2"/>
      <c r="H5" s="4"/>
      <c r="I5" s="48"/>
      <c r="J5" s="65"/>
      <c r="K5" s="11"/>
      <c r="L5" s="7"/>
      <c r="M5" s="4"/>
      <c r="N5" s="43"/>
      <c r="O5" s="48"/>
      <c r="Q5" s="28"/>
      <c r="R5" s="4"/>
      <c r="T5" s="48"/>
      <c r="U5" s="31"/>
      <c r="V5" s="31"/>
    </row>
    <row r="6" spans="1:28" x14ac:dyDescent="0.2">
      <c r="A6" s="91">
        <v>1</v>
      </c>
      <c r="B6" s="91" t="s">
        <v>182</v>
      </c>
      <c r="C6" s="92">
        <v>36684</v>
      </c>
      <c r="D6" s="41" t="s">
        <v>13</v>
      </c>
      <c r="E6" s="41" t="s">
        <v>14</v>
      </c>
      <c r="F6" s="41" t="s">
        <v>15</v>
      </c>
      <c r="G6" s="41" t="s">
        <v>16</v>
      </c>
      <c r="H6" s="93">
        <v>0</v>
      </c>
      <c r="I6" s="94">
        <f t="shared" ref="I6:I14" si="0">+H6*K6</f>
        <v>0</v>
      </c>
      <c r="J6" s="95">
        <v>36708</v>
      </c>
      <c r="K6" s="96">
        <v>754162</v>
      </c>
      <c r="L6" s="97" t="s">
        <v>25</v>
      </c>
      <c r="M6" s="98">
        <v>4.0599999999999996</v>
      </c>
      <c r="N6" s="99">
        <f t="shared" ref="N6:N14" si="1">K6*M6</f>
        <v>3061897.7199999997</v>
      </c>
      <c r="O6" s="62">
        <f t="shared" ref="O6:O14" si="2">0.0031*K6</f>
        <v>2337.9022</v>
      </c>
      <c r="Q6" s="100">
        <v>4.2149999999999999</v>
      </c>
      <c r="T6" s="62">
        <f t="shared" ref="T6:T12" si="3">(M6-Q6)*K6</f>
        <v>-116895.11000000019</v>
      </c>
      <c r="V6" s="102">
        <f t="shared" ref="V6:V14" si="4">SUM(T6:U6)</f>
        <v>-116895.11000000019</v>
      </c>
      <c r="Y6" s="41" t="s">
        <v>59</v>
      </c>
      <c r="AA6" s="91" t="s">
        <v>202</v>
      </c>
      <c r="AB6" s="41" t="s">
        <v>296</v>
      </c>
    </row>
    <row r="7" spans="1:28" x14ac:dyDescent="0.2">
      <c r="A7" s="91">
        <v>1</v>
      </c>
      <c r="B7" s="91" t="s">
        <v>182</v>
      </c>
      <c r="C7" s="92">
        <v>36684</v>
      </c>
      <c r="D7" s="41" t="s">
        <v>13</v>
      </c>
      <c r="E7" s="41" t="s">
        <v>14</v>
      </c>
      <c r="F7" s="41" t="s">
        <v>15</v>
      </c>
      <c r="G7" s="41" t="s">
        <v>16</v>
      </c>
      <c r="H7" s="93">
        <v>0</v>
      </c>
      <c r="I7" s="94">
        <f t="shared" si="0"/>
        <v>0</v>
      </c>
      <c r="J7" s="95">
        <v>36739</v>
      </c>
      <c r="K7" s="96">
        <v>754162</v>
      </c>
      <c r="L7" s="97" t="s">
        <v>25</v>
      </c>
      <c r="M7" s="98">
        <v>4.0599999999999996</v>
      </c>
      <c r="N7" s="99">
        <f t="shared" si="1"/>
        <v>3061897.7199999997</v>
      </c>
      <c r="O7" s="62">
        <f t="shared" si="2"/>
        <v>2337.9022</v>
      </c>
      <c r="Q7" s="100">
        <v>3.7050000000000001</v>
      </c>
      <c r="T7" s="62">
        <f t="shared" si="3"/>
        <v>267727.50999999966</v>
      </c>
      <c r="V7" s="102">
        <f t="shared" si="4"/>
        <v>267727.50999999966</v>
      </c>
      <c r="AA7" s="91" t="s">
        <v>202</v>
      </c>
      <c r="AB7" s="41" t="s">
        <v>296</v>
      </c>
    </row>
    <row r="8" spans="1:28" x14ac:dyDescent="0.2">
      <c r="A8" s="91">
        <v>1</v>
      </c>
      <c r="B8" s="91" t="s">
        <v>182</v>
      </c>
      <c r="C8" s="92">
        <v>36684</v>
      </c>
      <c r="D8" s="41" t="s">
        <v>13</v>
      </c>
      <c r="E8" s="41" t="s">
        <v>14</v>
      </c>
      <c r="F8" s="41" t="s">
        <v>15</v>
      </c>
      <c r="G8" s="41" t="s">
        <v>16</v>
      </c>
      <c r="H8" s="93">
        <v>0</v>
      </c>
      <c r="I8" s="94">
        <f t="shared" si="0"/>
        <v>0</v>
      </c>
      <c r="J8" s="95">
        <v>36770</v>
      </c>
      <c r="K8" s="96">
        <v>754162</v>
      </c>
      <c r="L8" s="97" t="s">
        <v>25</v>
      </c>
      <c r="M8" s="98">
        <v>4.0599999999999996</v>
      </c>
      <c r="N8" s="99">
        <f t="shared" si="1"/>
        <v>3061897.7199999997</v>
      </c>
      <c r="O8" s="62">
        <f t="shared" si="2"/>
        <v>2337.9022</v>
      </c>
      <c r="Q8" s="100">
        <v>4.45</v>
      </c>
      <c r="T8" s="62">
        <f t="shared" si="3"/>
        <v>-294123.1800000004</v>
      </c>
      <c r="V8" s="102">
        <f t="shared" si="4"/>
        <v>-294123.1800000004</v>
      </c>
      <c r="AA8" s="91" t="s">
        <v>202</v>
      </c>
      <c r="AB8" s="41" t="s">
        <v>296</v>
      </c>
    </row>
    <row r="9" spans="1:28" x14ac:dyDescent="0.2">
      <c r="A9" s="91">
        <v>1</v>
      </c>
      <c r="B9" s="91" t="s">
        <v>182</v>
      </c>
      <c r="C9" s="92">
        <v>36684</v>
      </c>
      <c r="D9" s="41" t="s">
        <v>13</v>
      </c>
      <c r="E9" s="41" t="s">
        <v>14</v>
      </c>
      <c r="F9" s="41" t="s">
        <v>15</v>
      </c>
      <c r="G9" s="41" t="s">
        <v>16</v>
      </c>
      <c r="H9" s="93">
        <v>0</v>
      </c>
      <c r="I9" s="94">
        <f t="shared" si="0"/>
        <v>0</v>
      </c>
      <c r="J9" s="95">
        <v>36800</v>
      </c>
      <c r="K9" s="96">
        <v>754162</v>
      </c>
      <c r="L9" s="97" t="s">
        <v>25</v>
      </c>
      <c r="M9" s="98">
        <v>4.0599999999999996</v>
      </c>
      <c r="N9" s="99">
        <f t="shared" si="1"/>
        <v>3061897.7199999997</v>
      </c>
      <c r="O9" s="62">
        <f t="shared" si="2"/>
        <v>2337.9022</v>
      </c>
      <c r="Q9" s="100">
        <v>5.1050000000000004</v>
      </c>
      <c r="T9" s="62">
        <f t="shared" si="3"/>
        <v>-788099.29000000062</v>
      </c>
      <c r="V9" s="102">
        <f t="shared" si="4"/>
        <v>-788099.29000000062</v>
      </c>
      <c r="AA9" s="91" t="s">
        <v>202</v>
      </c>
      <c r="AB9" s="41" t="s">
        <v>296</v>
      </c>
    </row>
    <row r="10" spans="1:28" x14ac:dyDescent="0.2">
      <c r="A10" s="91">
        <v>1</v>
      </c>
      <c r="B10" s="91" t="s">
        <v>182</v>
      </c>
      <c r="C10" s="92">
        <v>36684</v>
      </c>
      <c r="D10" s="41" t="s">
        <v>13</v>
      </c>
      <c r="E10" s="41" t="s">
        <v>14</v>
      </c>
      <c r="F10" s="41" t="s">
        <v>15</v>
      </c>
      <c r="G10" s="41" t="s">
        <v>16</v>
      </c>
      <c r="H10" s="93">
        <v>0</v>
      </c>
      <c r="I10" s="94">
        <f t="shared" si="0"/>
        <v>0</v>
      </c>
      <c r="J10" s="95">
        <v>36831</v>
      </c>
      <c r="K10" s="96">
        <v>754162</v>
      </c>
      <c r="L10" s="97" t="s">
        <v>25</v>
      </c>
      <c r="M10" s="98">
        <v>4.0599999999999996</v>
      </c>
      <c r="N10" s="99">
        <f t="shared" si="1"/>
        <v>3061897.7199999997</v>
      </c>
      <c r="O10" s="62">
        <f t="shared" si="2"/>
        <v>2337.9022</v>
      </c>
      <c r="Q10" s="100">
        <v>4.3099999999999996</v>
      </c>
      <c r="T10" s="62">
        <f t="shared" si="3"/>
        <v>-188540.5</v>
      </c>
      <c r="V10" s="102">
        <f t="shared" si="4"/>
        <v>-188540.5</v>
      </c>
      <c r="AA10" s="91" t="s">
        <v>202</v>
      </c>
      <c r="AB10" s="41" t="s">
        <v>296</v>
      </c>
    </row>
    <row r="11" spans="1:28" x14ac:dyDescent="0.2">
      <c r="A11" s="91">
        <v>1</v>
      </c>
      <c r="B11" s="91" t="s">
        <v>182</v>
      </c>
      <c r="C11" s="92">
        <v>36684</v>
      </c>
      <c r="D11" s="41" t="s">
        <v>13</v>
      </c>
      <c r="E11" s="41" t="s">
        <v>14</v>
      </c>
      <c r="F11" s="41" t="s">
        <v>15</v>
      </c>
      <c r="G11" s="41" t="s">
        <v>16</v>
      </c>
      <c r="H11" s="93">
        <v>0</v>
      </c>
      <c r="I11" s="94">
        <f t="shared" si="0"/>
        <v>0</v>
      </c>
      <c r="J11" s="95">
        <v>36861</v>
      </c>
      <c r="K11" s="96">
        <v>754162</v>
      </c>
      <c r="L11" s="97" t="s">
        <v>25</v>
      </c>
      <c r="M11" s="98">
        <v>4.0599999999999996</v>
      </c>
      <c r="N11" s="99">
        <f t="shared" si="1"/>
        <v>3061897.7199999997</v>
      </c>
      <c r="O11" s="62">
        <f t="shared" si="2"/>
        <v>2337.9022</v>
      </c>
      <c r="Q11" s="100">
        <v>6</v>
      </c>
      <c r="T11" s="62">
        <f t="shared" si="3"/>
        <v>-1463074.2800000003</v>
      </c>
      <c r="V11" s="102">
        <f t="shared" si="4"/>
        <v>-1463074.2800000003</v>
      </c>
      <c r="AA11" s="91" t="s">
        <v>202</v>
      </c>
      <c r="AB11" s="41" t="s">
        <v>296</v>
      </c>
    </row>
    <row r="12" spans="1:28" x14ac:dyDescent="0.2">
      <c r="A12" s="91">
        <v>1</v>
      </c>
      <c r="B12" s="91" t="s">
        <v>182</v>
      </c>
      <c r="C12" s="92">
        <v>36684</v>
      </c>
      <c r="D12" s="41" t="s">
        <v>13</v>
      </c>
      <c r="E12" s="41" t="s">
        <v>14</v>
      </c>
      <c r="F12" s="41" t="s">
        <v>15</v>
      </c>
      <c r="G12" s="41" t="s">
        <v>16</v>
      </c>
      <c r="H12" s="93">
        <v>0</v>
      </c>
      <c r="I12" s="94">
        <f t="shared" si="0"/>
        <v>0</v>
      </c>
      <c r="J12" s="95">
        <v>36892</v>
      </c>
      <c r="K12" s="96">
        <v>754162</v>
      </c>
      <c r="L12" s="97" t="s">
        <v>25</v>
      </c>
      <c r="M12" s="98">
        <v>4.0599999999999996</v>
      </c>
      <c r="N12" s="99">
        <f t="shared" si="1"/>
        <v>3061897.7199999997</v>
      </c>
      <c r="O12" s="62">
        <f t="shared" si="2"/>
        <v>2337.9022</v>
      </c>
      <c r="Q12" s="100">
        <v>9.5649999999999995</v>
      </c>
      <c r="T12" s="62">
        <f t="shared" si="3"/>
        <v>-4151661.81</v>
      </c>
      <c r="V12" s="102">
        <f t="shared" si="4"/>
        <v>-4151661.81</v>
      </c>
      <c r="AA12" s="91" t="s">
        <v>202</v>
      </c>
      <c r="AB12" s="41" t="s">
        <v>296</v>
      </c>
    </row>
    <row r="13" spans="1:28" x14ac:dyDescent="0.2">
      <c r="A13" s="91">
        <v>1</v>
      </c>
      <c r="B13" s="91" t="s">
        <v>182</v>
      </c>
      <c r="C13" s="92">
        <v>36684</v>
      </c>
      <c r="D13" s="41" t="s">
        <v>13</v>
      </c>
      <c r="E13" s="41" t="s">
        <v>14</v>
      </c>
      <c r="F13" s="41" t="s">
        <v>15</v>
      </c>
      <c r="G13" s="41" t="s">
        <v>16</v>
      </c>
      <c r="H13" s="93">
        <v>0</v>
      </c>
      <c r="I13" s="94">
        <f t="shared" si="0"/>
        <v>0</v>
      </c>
      <c r="J13" s="95">
        <v>36923</v>
      </c>
      <c r="K13" s="96">
        <v>754162</v>
      </c>
      <c r="L13" s="97" t="s">
        <v>25</v>
      </c>
      <c r="M13" s="98">
        <v>4.0599999999999996</v>
      </c>
      <c r="N13" s="99">
        <f t="shared" si="1"/>
        <v>3061897.7199999997</v>
      </c>
      <c r="O13" s="62">
        <f t="shared" si="2"/>
        <v>2337.9022</v>
      </c>
      <c r="R13" s="101">
        <v>7.2</v>
      </c>
      <c r="U13" s="102">
        <f>(M13-R13)*K13</f>
        <v>-2368068.6800000006</v>
      </c>
      <c r="V13" s="102">
        <f t="shared" si="4"/>
        <v>-2368068.6800000006</v>
      </c>
      <c r="AA13" s="91" t="s">
        <v>202</v>
      </c>
      <c r="AB13" s="41" t="s">
        <v>296</v>
      </c>
    </row>
    <row r="14" spans="1:28" x14ac:dyDescent="0.2">
      <c r="A14" s="91">
        <v>1</v>
      </c>
      <c r="B14" s="91" t="s">
        <v>182</v>
      </c>
      <c r="C14" s="92">
        <v>36684</v>
      </c>
      <c r="D14" s="41" t="s">
        <v>13</v>
      </c>
      <c r="E14" s="41" t="s">
        <v>14</v>
      </c>
      <c r="F14" s="41" t="s">
        <v>15</v>
      </c>
      <c r="G14" s="41" t="s">
        <v>16</v>
      </c>
      <c r="H14" s="93">
        <v>0</v>
      </c>
      <c r="I14" s="94">
        <f t="shared" si="0"/>
        <v>0</v>
      </c>
      <c r="J14" s="95">
        <v>36951</v>
      </c>
      <c r="K14" s="96">
        <v>754162</v>
      </c>
      <c r="L14" s="97" t="s">
        <v>25</v>
      </c>
      <c r="M14" s="98">
        <v>4.0599999999999996</v>
      </c>
      <c r="N14" s="99">
        <f t="shared" si="1"/>
        <v>3061897.7199999997</v>
      </c>
      <c r="O14" s="62">
        <f t="shared" si="2"/>
        <v>2337.9022</v>
      </c>
      <c r="R14" s="101">
        <v>7.2</v>
      </c>
      <c r="U14" s="102">
        <f>(M14-R14)*K14</f>
        <v>-2368068.6800000006</v>
      </c>
      <c r="V14" s="102">
        <f t="shared" si="4"/>
        <v>-2368068.6800000006</v>
      </c>
      <c r="W14" s="102">
        <f>SUM(V6:V14)</f>
        <v>-11470804.020000003</v>
      </c>
      <c r="X14" s="102"/>
      <c r="AA14" s="91" t="s">
        <v>202</v>
      </c>
      <c r="AB14" s="41" t="s">
        <v>296</v>
      </c>
    </row>
    <row r="15" spans="1:28" x14ac:dyDescent="0.2">
      <c r="J15" s="95"/>
    </row>
    <row r="16" spans="1:28" x14ac:dyDescent="0.2">
      <c r="A16" s="91">
        <v>2</v>
      </c>
      <c r="B16" s="91" t="s">
        <v>181</v>
      </c>
      <c r="C16" s="92">
        <v>36720</v>
      </c>
      <c r="D16" s="41" t="s">
        <v>13</v>
      </c>
      <c r="E16" s="41" t="s">
        <v>14</v>
      </c>
      <c r="F16" s="41" t="s">
        <v>15</v>
      </c>
      <c r="G16" s="41" t="s">
        <v>16</v>
      </c>
      <c r="H16" s="93">
        <v>0</v>
      </c>
      <c r="I16" s="94">
        <f t="shared" ref="I16:I23" si="5">+H16*K16</f>
        <v>0</v>
      </c>
      <c r="J16" s="95">
        <v>36739</v>
      </c>
      <c r="K16" s="96">
        <v>828140</v>
      </c>
      <c r="L16" s="97" t="s">
        <v>25</v>
      </c>
      <c r="M16" s="93">
        <v>4.0475000000000003</v>
      </c>
      <c r="N16" s="99">
        <f t="shared" ref="N16:N23" si="6">K16*M16</f>
        <v>3351896.6500000004</v>
      </c>
      <c r="O16" s="62">
        <f t="shared" ref="O16:O23" si="7">0.0181*K16</f>
        <v>14989.334000000001</v>
      </c>
      <c r="Q16" s="100">
        <v>3.7050000000000001</v>
      </c>
      <c r="T16" s="62">
        <f t="shared" ref="T16:T21" si="8">(M16-Q16)*K16</f>
        <v>283637.95000000019</v>
      </c>
      <c r="V16" s="102">
        <f t="shared" ref="V16:V23" si="9">SUM(T16:U16)</f>
        <v>283637.95000000019</v>
      </c>
      <c r="W16" s="102"/>
      <c r="Y16" s="41" t="s">
        <v>59</v>
      </c>
      <c r="AA16" s="91" t="s">
        <v>202</v>
      </c>
      <c r="AB16" s="41" t="s">
        <v>296</v>
      </c>
    </row>
    <row r="17" spans="1:28" x14ac:dyDescent="0.2">
      <c r="A17" s="91">
        <v>2</v>
      </c>
      <c r="B17" s="91" t="s">
        <v>181</v>
      </c>
      <c r="C17" s="92">
        <v>36720</v>
      </c>
      <c r="D17" s="41" t="s">
        <v>13</v>
      </c>
      <c r="E17" s="41" t="s">
        <v>14</v>
      </c>
      <c r="F17" s="41" t="s">
        <v>15</v>
      </c>
      <c r="G17" s="41" t="s">
        <v>16</v>
      </c>
      <c r="H17" s="93">
        <v>0</v>
      </c>
      <c r="I17" s="94">
        <f t="shared" si="5"/>
        <v>0</v>
      </c>
      <c r="J17" s="95">
        <v>36770</v>
      </c>
      <c r="K17" s="96">
        <v>828140</v>
      </c>
      <c r="L17" s="97" t="s">
        <v>25</v>
      </c>
      <c r="M17" s="93">
        <v>4.0475000000000003</v>
      </c>
      <c r="N17" s="99">
        <f t="shared" si="6"/>
        <v>3351896.6500000004</v>
      </c>
      <c r="O17" s="62">
        <f t="shared" si="7"/>
        <v>14989.334000000001</v>
      </c>
      <c r="Q17" s="100">
        <v>4.45</v>
      </c>
      <c r="T17" s="62">
        <f t="shared" si="8"/>
        <v>-333326.34999999986</v>
      </c>
      <c r="V17" s="102">
        <f t="shared" si="9"/>
        <v>-333326.34999999986</v>
      </c>
      <c r="W17" s="102"/>
      <c r="AA17" s="91" t="s">
        <v>202</v>
      </c>
      <c r="AB17" s="41" t="s">
        <v>296</v>
      </c>
    </row>
    <row r="18" spans="1:28" x14ac:dyDescent="0.2">
      <c r="A18" s="91">
        <v>2</v>
      </c>
      <c r="B18" s="91" t="s">
        <v>181</v>
      </c>
      <c r="C18" s="92">
        <v>36720</v>
      </c>
      <c r="D18" s="41" t="s">
        <v>13</v>
      </c>
      <c r="E18" s="41" t="s">
        <v>14</v>
      </c>
      <c r="F18" s="41" t="s">
        <v>15</v>
      </c>
      <c r="G18" s="41" t="s">
        <v>16</v>
      </c>
      <c r="H18" s="93">
        <v>0</v>
      </c>
      <c r="I18" s="94">
        <f t="shared" si="5"/>
        <v>0</v>
      </c>
      <c r="J18" s="95">
        <v>36800</v>
      </c>
      <c r="K18" s="96">
        <v>828140</v>
      </c>
      <c r="L18" s="97" t="s">
        <v>25</v>
      </c>
      <c r="M18" s="93">
        <v>4.0475000000000003</v>
      </c>
      <c r="N18" s="99">
        <f t="shared" si="6"/>
        <v>3351896.6500000004</v>
      </c>
      <c r="O18" s="62">
        <f t="shared" si="7"/>
        <v>14989.334000000001</v>
      </c>
      <c r="Q18" s="100">
        <v>5.1050000000000004</v>
      </c>
      <c r="T18" s="62">
        <f t="shared" si="8"/>
        <v>-875758.05</v>
      </c>
      <c r="V18" s="102">
        <f t="shared" si="9"/>
        <v>-875758.05</v>
      </c>
      <c r="AA18" s="91" t="s">
        <v>202</v>
      </c>
      <c r="AB18" s="41" t="s">
        <v>296</v>
      </c>
    </row>
    <row r="19" spans="1:28" x14ac:dyDescent="0.2">
      <c r="A19" s="91">
        <v>2</v>
      </c>
      <c r="B19" s="91" t="s">
        <v>181</v>
      </c>
      <c r="C19" s="92">
        <v>36720</v>
      </c>
      <c r="D19" s="41" t="s">
        <v>13</v>
      </c>
      <c r="E19" s="41" t="s">
        <v>14</v>
      </c>
      <c r="F19" s="41" t="s">
        <v>15</v>
      </c>
      <c r="G19" s="41" t="s">
        <v>16</v>
      </c>
      <c r="H19" s="93">
        <v>0</v>
      </c>
      <c r="I19" s="94">
        <f t="shared" si="5"/>
        <v>0</v>
      </c>
      <c r="J19" s="95">
        <v>36831</v>
      </c>
      <c r="K19" s="96">
        <v>828140</v>
      </c>
      <c r="L19" s="97" t="s">
        <v>25</v>
      </c>
      <c r="M19" s="93">
        <v>4.0475000000000003</v>
      </c>
      <c r="N19" s="99">
        <f t="shared" si="6"/>
        <v>3351896.6500000004</v>
      </c>
      <c r="O19" s="62">
        <f t="shared" si="7"/>
        <v>14989.334000000001</v>
      </c>
      <c r="Q19" s="100">
        <v>4.3099999999999996</v>
      </c>
      <c r="T19" s="62">
        <f t="shared" si="8"/>
        <v>-217386.74999999942</v>
      </c>
      <c r="V19" s="102">
        <f t="shared" si="9"/>
        <v>-217386.74999999942</v>
      </c>
      <c r="AA19" s="91" t="s">
        <v>202</v>
      </c>
      <c r="AB19" s="41" t="s">
        <v>296</v>
      </c>
    </row>
    <row r="20" spans="1:28" x14ac:dyDescent="0.2">
      <c r="A20" s="91">
        <v>2</v>
      </c>
      <c r="B20" s="91" t="s">
        <v>181</v>
      </c>
      <c r="C20" s="92">
        <v>36720</v>
      </c>
      <c r="D20" s="41" t="s">
        <v>13</v>
      </c>
      <c r="E20" s="41" t="s">
        <v>14</v>
      </c>
      <c r="F20" s="41" t="s">
        <v>15</v>
      </c>
      <c r="G20" s="41" t="s">
        <v>16</v>
      </c>
      <c r="H20" s="93">
        <v>0</v>
      </c>
      <c r="I20" s="94">
        <f t="shared" si="5"/>
        <v>0</v>
      </c>
      <c r="J20" s="95">
        <v>36861</v>
      </c>
      <c r="K20" s="96">
        <v>828140</v>
      </c>
      <c r="L20" s="97" t="s">
        <v>25</v>
      </c>
      <c r="M20" s="93">
        <v>4.0475000000000003</v>
      </c>
      <c r="N20" s="99">
        <f t="shared" si="6"/>
        <v>3351896.6500000004</v>
      </c>
      <c r="O20" s="62">
        <f t="shared" si="7"/>
        <v>14989.334000000001</v>
      </c>
      <c r="Q20" s="100">
        <v>5.7750000000000004</v>
      </c>
      <c r="T20" s="62">
        <f t="shared" si="8"/>
        <v>-1430611.85</v>
      </c>
      <c r="V20" s="102">
        <f t="shared" si="9"/>
        <v>-1430611.85</v>
      </c>
      <c r="AA20" s="91" t="s">
        <v>202</v>
      </c>
      <c r="AB20" s="41" t="s">
        <v>296</v>
      </c>
    </row>
    <row r="21" spans="1:28" x14ac:dyDescent="0.2">
      <c r="A21" s="91">
        <v>2</v>
      </c>
      <c r="B21" s="91" t="s">
        <v>181</v>
      </c>
      <c r="C21" s="92">
        <v>36720</v>
      </c>
      <c r="D21" s="41" t="s">
        <v>13</v>
      </c>
      <c r="E21" s="41" t="s">
        <v>14</v>
      </c>
      <c r="F21" s="41" t="s">
        <v>15</v>
      </c>
      <c r="G21" s="41" t="s">
        <v>16</v>
      </c>
      <c r="H21" s="93">
        <v>0</v>
      </c>
      <c r="I21" s="94">
        <f t="shared" si="5"/>
        <v>0</v>
      </c>
      <c r="J21" s="95">
        <v>36892</v>
      </c>
      <c r="K21" s="96">
        <v>828140</v>
      </c>
      <c r="L21" s="97" t="s">
        <v>25</v>
      </c>
      <c r="M21" s="93">
        <v>4.0475000000000003</v>
      </c>
      <c r="N21" s="99">
        <f t="shared" si="6"/>
        <v>3351896.6500000004</v>
      </c>
      <c r="O21" s="62">
        <f t="shared" si="7"/>
        <v>14989.334000000001</v>
      </c>
      <c r="Q21" s="100">
        <v>9.5649999999999995</v>
      </c>
      <c r="T21" s="62">
        <f t="shared" si="8"/>
        <v>-4569262.4499999993</v>
      </c>
      <c r="V21" s="102">
        <f t="shared" si="9"/>
        <v>-4569262.4499999993</v>
      </c>
      <c r="AA21" s="91" t="s">
        <v>202</v>
      </c>
      <c r="AB21" s="41" t="s">
        <v>296</v>
      </c>
    </row>
    <row r="22" spans="1:28" x14ac:dyDescent="0.2">
      <c r="A22" s="91">
        <v>2</v>
      </c>
      <c r="B22" s="91" t="s">
        <v>181</v>
      </c>
      <c r="C22" s="92">
        <v>36720</v>
      </c>
      <c r="D22" s="41" t="s">
        <v>13</v>
      </c>
      <c r="E22" s="41" t="s">
        <v>14</v>
      </c>
      <c r="F22" s="41" t="s">
        <v>15</v>
      </c>
      <c r="G22" s="41" t="s">
        <v>16</v>
      </c>
      <c r="H22" s="93">
        <v>0</v>
      </c>
      <c r="I22" s="94">
        <f t="shared" si="5"/>
        <v>0</v>
      </c>
      <c r="J22" s="95">
        <v>36923</v>
      </c>
      <c r="K22" s="96">
        <v>828140</v>
      </c>
      <c r="L22" s="97" t="s">
        <v>25</v>
      </c>
      <c r="M22" s="93">
        <v>4.0475000000000003</v>
      </c>
      <c r="N22" s="99">
        <f t="shared" si="6"/>
        <v>3351896.6500000004</v>
      </c>
      <c r="O22" s="62">
        <f t="shared" si="7"/>
        <v>14989.334000000001</v>
      </c>
      <c r="R22" s="101">
        <v>7.2</v>
      </c>
      <c r="U22" s="102">
        <f>(M22-R22)*K22</f>
        <v>-2610711.35</v>
      </c>
      <c r="V22" s="102">
        <f t="shared" si="9"/>
        <v>-2610711.35</v>
      </c>
      <c r="AA22" s="91" t="s">
        <v>202</v>
      </c>
      <c r="AB22" s="41" t="s">
        <v>296</v>
      </c>
    </row>
    <row r="23" spans="1:28" x14ac:dyDescent="0.2">
      <c r="A23" s="91">
        <v>2</v>
      </c>
      <c r="B23" s="91" t="s">
        <v>181</v>
      </c>
      <c r="C23" s="92">
        <v>36720</v>
      </c>
      <c r="D23" s="41" t="s">
        <v>13</v>
      </c>
      <c r="E23" s="41" t="s">
        <v>14</v>
      </c>
      <c r="F23" s="41" t="s">
        <v>15</v>
      </c>
      <c r="G23" s="41" t="s">
        <v>16</v>
      </c>
      <c r="H23" s="93">
        <v>0</v>
      </c>
      <c r="I23" s="94">
        <f t="shared" si="5"/>
        <v>0</v>
      </c>
      <c r="J23" s="95">
        <v>36951</v>
      </c>
      <c r="K23" s="96">
        <v>828140</v>
      </c>
      <c r="L23" s="97" t="s">
        <v>25</v>
      </c>
      <c r="M23" s="93">
        <v>4.0475000000000003</v>
      </c>
      <c r="N23" s="99">
        <f t="shared" si="6"/>
        <v>3351896.6500000004</v>
      </c>
      <c r="O23" s="62">
        <f t="shared" si="7"/>
        <v>14989.334000000001</v>
      </c>
      <c r="R23" s="101">
        <v>7.2</v>
      </c>
      <c r="U23" s="102">
        <f>(M23-R23)*K23</f>
        <v>-2610711.35</v>
      </c>
      <c r="V23" s="102">
        <f t="shared" si="9"/>
        <v>-2610711.35</v>
      </c>
      <c r="W23" s="102">
        <f>SUM(V16:V23)</f>
        <v>-12364130.199999997</v>
      </c>
      <c r="X23" s="102"/>
      <c r="AA23" s="91" t="s">
        <v>202</v>
      </c>
      <c r="AB23" s="41" t="s">
        <v>296</v>
      </c>
    </row>
    <row r="25" spans="1:28" x14ac:dyDescent="0.2">
      <c r="A25" s="91">
        <v>3</v>
      </c>
      <c r="B25" s="91" t="s">
        <v>103</v>
      </c>
      <c r="C25" s="92">
        <v>36754</v>
      </c>
      <c r="D25" s="41" t="s">
        <v>32</v>
      </c>
      <c r="E25" s="41" t="s">
        <v>14</v>
      </c>
      <c r="F25" s="41" t="s">
        <v>15</v>
      </c>
      <c r="G25" s="41" t="s">
        <v>33</v>
      </c>
      <c r="H25" s="93">
        <v>0.15</v>
      </c>
      <c r="I25" s="94">
        <f t="shared" ref="I25:I30" si="10">+H25*K25</f>
        <v>22755</v>
      </c>
      <c r="J25" s="95">
        <v>36770</v>
      </c>
      <c r="K25" s="96">
        <v>151700</v>
      </c>
      <c r="L25" s="97" t="s">
        <v>25</v>
      </c>
      <c r="M25" s="93" t="s">
        <v>34</v>
      </c>
      <c r="O25" s="62">
        <f t="shared" ref="O25:O30" si="11">0.005*K25</f>
        <v>758.5</v>
      </c>
      <c r="Q25" s="100">
        <v>4.45</v>
      </c>
      <c r="T25" s="62">
        <f>(4.4-Q25)*K25</f>
        <v>-7584.9999999999727</v>
      </c>
      <c r="Y25" s="41" t="s">
        <v>60</v>
      </c>
      <c r="AA25" s="91" t="s">
        <v>201</v>
      </c>
      <c r="AB25" s="41" t="s">
        <v>296</v>
      </c>
    </row>
    <row r="26" spans="1:28" x14ac:dyDescent="0.2">
      <c r="A26" s="91">
        <v>3</v>
      </c>
      <c r="B26" s="91" t="s">
        <v>103</v>
      </c>
      <c r="C26" s="92">
        <v>36754</v>
      </c>
      <c r="D26" s="41" t="s">
        <v>32</v>
      </c>
      <c r="E26" s="41" t="s">
        <v>14</v>
      </c>
      <c r="F26" s="41" t="s">
        <v>15</v>
      </c>
      <c r="G26" s="41" t="s">
        <v>33</v>
      </c>
      <c r="H26" s="93">
        <v>0.15</v>
      </c>
      <c r="I26" s="94">
        <f t="shared" si="10"/>
        <v>22755</v>
      </c>
      <c r="J26" s="95">
        <v>36800</v>
      </c>
      <c r="K26" s="96">
        <v>151700</v>
      </c>
      <c r="L26" s="97" t="s">
        <v>25</v>
      </c>
      <c r="M26" s="93" t="s">
        <v>34</v>
      </c>
      <c r="O26" s="62">
        <f t="shared" si="11"/>
        <v>758.5</v>
      </c>
      <c r="Q26" s="100">
        <v>5.1050000000000004</v>
      </c>
      <c r="T26" s="62">
        <f>(4.4-Q26)*K26</f>
        <v>-106948.50000000001</v>
      </c>
      <c r="AA26" s="91" t="s">
        <v>201</v>
      </c>
      <c r="AB26" s="41" t="s">
        <v>296</v>
      </c>
    </row>
    <row r="27" spans="1:28" x14ac:dyDescent="0.2">
      <c r="A27" s="91">
        <v>3</v>
      </c>
      <c r="B27" s="91" t="s">
        <v>103</v>
      </c>
      <c r="C27" s="92">
        <v>36754</v>
      </c>
      <c r="D27" s="41" t="s">
        <v>32</v>
      </c>
      <c r="E27" s="41" t="s">
        <v>14</v>
      </c>
      <c r="F27" s="41" t="s">
        <v>15</v>
      </c>
      <c r="G27" s="41" t="s">
        <v>33</v>
      </c>
      <c r="H27" s="93">
        <v>0.15</v>
      </c>
      <c r="I27" s="94">
        <f t="shared" si="10"/>
        <v>22755</v>
      </c>
      <c r="J27" s="95">
        <v>36831</v>
      </c>
      <c r="K27" s="96">
        <v>151700</v>
      </c>
      <c r="L27" s="97" t="s">
        <v>25</v>
      </c>
      <c r="M27" s="93" t="s">
        <v>34</v>
      </c>
      <c r="O27" s="62">
        <f t="shared" si="11"/>
        <v>758.5</v>
      </c>
      <c r="Q27" s="100">
        <v>4.3099999999999996</v>
      </c>
      <c r="T27" s="62">
        <v>0</v>
      </c>
      <c r="AA27" s="91" t="s">
        <v>201</v>
      </c>
      <c r="AB27" s="41" t="s">
        <v>296</v>
      </c>
    </row>
    <row r="28" spans="1:28" x14ac:dyDescent="0.2">
      <c r="A28" s="91">
        <v>3</v>
      </c>
      <c r="B28" s="91" t="s">
        <v>103</v>
      </c>
      <c r="C28" s="92">
        <v>36754</v>
      </c>
      <c r="D28" s="41" t="s">
        <v>32</v>
      </c>
      <c r="E28" s="41" t="s">
        <v>14</v>
      </c>
      <c r="F28" s="41" t="s">
        <v>15</v>
      </c>
      <c r="G28" s="41" t="s">
        <v>33</v>
      </c>
      <c r="H28" s="93">
        <v>0.15</v>
      </c>
      <c r="I28" s="94">
        <f t="shared" si="10"/>
        <v>22755</v>
      </c>
      <c r="J28" s="95">
        <v>36861</v>
      </c>
      <c r="K28" s="96">
        <v>151700</v>
      </c>
      <c r="L28" s="97" t="s">
        <v>25</v>
      </c>
      <c r="M28" s="93" t="s">
        <v>34</v>
      </c>
      <c r="O28" s="62">
        <f t="shared" si="11"/>
        <v>758.5</v>
      </c>
      <c r="Q28" s="100">
        <v>5.7750000000000004</v>
      </c>
      <c r="T28" s="62">
        <f>(4.4-Q28)*K28</f>
        <v>-208587.5</v>
      </c>
      <c r="AA28" s="91" t="s">
        <v>201</v>
      </c>
      <c r="AB28" s="41" t="s">
        <v>296</v>
      </c>
    </row>
    <row r="29" spans="1:28" x14ac:dyDescent="0.2">
      <c r="A29" s="91">
        <v>3</v>
      </c>
      <c r="B29" s="91" t="s">
        <v>103</v>
      </c>
      <c r="C29" s="92">
        <v>36754</v>
      </c>
      <c r="D29" s="41" t="s">
        <v>32</v>
      </c>
      <c r="E29" s="41" t="s">
        <v>14</v>
      </c>
      <c r="F29" s="41" t="s">
        <v>15</v>
      </c>
      <c r="G29" s="41" t="s">
        <v>33</v>
      </c>
      <c r="H29" s="93">
        <v>0.15</v>
      </c>
      <c r="I29" s="94">
        <f t="shared" si="10"/>
        <v>22755</v>
      </c>
      <c r="J29" s="95">
        <v>36892</v>
      </c>
      <c r="K29" s="96">
        <v>151700</v>
      </c>
      <c r="L29" s="97" t="s">
        <v>25</v>
      </c>
      <c r="M29" s="93" t="s">
        <v>34</v>
      </c>
      <c r="O29" s="62">
        <f t="shared" si="11"/>
        <v>758.5</v>
      </c>
      <c r="Q29" s="100">
        <v>9.5649999999999995</v>
      </c>
      <c r="T29" s="62">
        <f>(4.4-Q29)*K29</f>
        <v>-783530.49999999988</v>
      </c>
      <c r="AA29" s="91" t="s">
        <v>201</v>
      </c>
      <c r="AB29" s="41" t="s">
        <v>296</v>
      </c>
    </row>
    <row r="30" spans="1:28" x14ac:dyDescent="0.2">
      <c r="A30" s="91">
        <v>3</v>
      </c>
      <c r="B30" s="91" t="s">
        <v>103</v>
      </c>
      <c r="C30" s="92">
        <v>36754</v>
      </c>
      <c r="D30" s="41" t="s">
        <v>32</v>
      </c>
      <c r="E30" s="41" t="s">
        <v>14</v>
      </c>
      <c r="F30" s="41" t="s">
        <v>15</v>
      </c>
      <c r="G30" s="41" t="s">
        <v>33</v>
      </c>
      <c r="H30" s="93">
        <v>0.15</v>
      </c>
      <c r="I30" s="94">
        <f t="shared" si="10"/>
        <v>22755</v>
      </c>
      <c r="J30" s="95">
        <v>36923</v>
      </c>
      <c r="K30" s="96">
        <v>151700</v>
      </c>
      <c r="L30" s="97" t="s">
        <v>25</v>
      </c>
      <c r="M30" s="93" t="s">
        <v>34</v>
      </c>
      <c r="O30" s="62">
        <f t="shared" si="11"/>
        <v>758.5</v>
      </c>
      <c r="AA30" s="91" t="s">
        <v>201</v>
      </c>
      <c r="AB30" s="41" t="s">
        <v>296</v>
      </c>
    </row>
    <row r="32" spans="1:28" x14ac:dyDescent="0.2">
      <c r="A32" s="91">
        <v>4</v>
      </c>
      <c r="B32" s="91" t="s">
        <v>102</v>
      </c>
      <c r="C32" s="92">
        <v>36754</v>
      </c>
      <c r="D32" s="41" t="s">
        <v>35</v>
      </c>
      <c r="E32" s="41" t="s">
        <v>14</v>
      </c>
      <c r="F32" s="41" t="s">
        <v>15</v>
      </c>
      <c r="G32" s="41" t="s">
        <v>33</v>
      </c>
      <c r="H32" s="93">
        <v>0.15</v>
      </c>
      <c r="I32" s="94">
        <f t="shared" ref="I32:I37" si="12">+H32*K32</f>
        <v>6105</v>
      </c>
      <c r="J32" s="95">
        <v>36770</v>
      </c>
      <c r="K32" s="96">
        <v>40700</v>
      </c>
      <c r="L32" s="97" t="s">
        <v>25</v>
      </c>
      <c r="M32" s="93" t="s">
        <v>34</v>
      </c>
      <c r="O32" s="62">
        <f t="shared" ref="O32:O37" si="13">0.005*K32</f>
        <v>203.5</v>
      </c>
      <c r="Q32" s="100">
        <v>4.45</v>
      </c>
      <c r="T32" s="62">
        <f>(4.4-Q32)*K32</f>
        <v>-2034.9999999999927</v>
      </c>
      <c r="Y32" s="41" t="s">
        <v>60</v>
      </c>
      <c r="AA32" s="91" t="s">
        <v>201</v>
      </c>
      <c r="AB32" s="41" t="s">
        <v>296</v>
      </c>
    </row>
    <row r="33" spans="1:28" x14ac:dyDescent="0.2">
      <c r="A33" s="91">
        <v>4</v>
      </c>
      <c r="B33" s="91" t="s">
        <v>102</v>
      </c>
      <c r="C33" s="92">
        <v>36754</v>
      </c>
      <c r="D33" s="41" t="s">
        <v>35</v>
      </c>
      <c r="E33" s="41" t="s">
        <v>14</v>
      </c>
      <c r="F33" s="41" t="s">
        <v>15</v>
      </c>
      <c r="G33" s="41" t="s">
        <v>33</v>
      </c>
      <c r="H33" s="93">
        <v>0.15</v>
      </c>
      <c r="I33" s="94">
        <f t="shared" si="12"/>
        <v>6105</v>
      </c>
      <c r="J33" s="95">
        <v>36800</v>
      </c>
      <c r="K33" s="96">
        <v>40700</v>
      </c>
      <c r="L33" s="97" t="s">
        <v>25</v>
      </c>
      <c r="M33" s="93" t="s">
        <v>34</v>
      </c>
      <c r="O33" s="62">
        <f t="shared" si="13"/>
        <v>203.5</v>
      </c>
      <c r="Q33" s="100">
        <v>5.1050000000000004</v>
      </c>
      <c r="T33" s="62">
        <f>(4.4-Q33)*K33</f>
        <v>-28693.500000000004</v>
      </c>
      <c r="AA33" s="91" t="s">
        <v>201</v>
      </c>
      <c r="AB33" s="41" t="s">
        <v>296</v>
      </c>
    </row>
    <row r="34" spans="1:28" x14ac:dyDescent="0.2">
      <c r="A34" s="91">
        <v>4</v>
      </c>
      <c r="B34" s="91" t="s">
        <v>102</v>
      </c>
      <c r="C34" s="92">
        <v>36754</v>
      </c>
      <c r="D34" s="41" t="s">
        <v>35</v>
      </c>
      <c r="E34" s="41" t="s">
        <v>14</v>
      </c>
      <c r="F34" s="41" t="s">
        <v>15</v>
      </c>
      <c r="G34" s="41" t="s">
        <v>33</v>
      </c>
      <c r="H34" s="93">
        <v>0.15</v>
      </c>
      <c r="I34" s="94">
        <f t="shared" si="12"/>
        <v>6105</v>
      </c>
      <c r="J34" s="95">
        <v>36831</v>
      </c>
      <c r="K34" s="96">
        <v>40700</v>
      </c>
      <c r="L34" s="97" t="s">
        <v>25</v>
      </c>
      <c r="M34" s="93" t="s">
        <v>34</v>
      </c>
      <c r="O34" s="62">
        <f t="shared" si="13"/>
        <v>203.5</v>
      </c>
      <c r="Q34" s="100">
        <v>4.3099999999999996</v>
      </c>
      <c r="T34" s="62">
        <v>0</v>
      </c>
      <c r="AA34" s="91" t="s">
        <v>201</v>
      </c>
      <c r="AB34" s="41" t="s">
        <v>296</v>
      </c>
    </row>
    <row r="35" spans="1:28" x14ac:dyDescent="0.2">
      <c r="A35" s="91">
        <v>4</v>
      </c>
      <c r="B35" s="91" t="s">
        <v>102</v>
      </c>
      <c r="C35" s="92">
        <v>36754</v>
      </c>
      <c r="D35" s="41" t="s">
        <v>35</v>
      </c>
      <c r="E35" s="41" t="s">
        <v>14</v>
      </c>
      <c r="F35" s="41" t="s">
        <v>15</v>
      </c>
      <c r="G35" s="41" t="s">
        <v>33</v>
      </c>
      <c r="H35" s="93">
        <v>0.15</v>
      </c>
      <c r="I35" s="94">
        <f t="shared" si="12"/>
        <v>6105</v>
      </c>
      <c r="J35" s="95">
        <v>36861</v>
      </c>
      <c r="K35" s="96">
        <v>40700</v>
      </c>
      <c r="L35" s="97" t="s">
        <v>25</v>
      </c>
      <c r="M35" s="93" t="s">
        <v>34</v>
      </c>
      <c r="O35" s="62">
        <f t="shared" si="13"/>
        <v>203.5</v>
      </c>
      <c r="Q35" s="100">
        <v>5.7750000000000004</v>
      </c>
      <c r="T35" s="62">
        <f>(4.4-Q35)*K35</f>
        <v>-55962.5</v>
      </c>
      <c r="AA35" s="91" t="s">
        <v>201</v>
      </c>
      <c r="AB35" s="41" t="s">
        <v>296</v>
      </c>
    </row>
    <row r="36" spans="1:28" x14ac:dyDescent="0.2">
      <c r="A36" s="91">
        <v>4</v>
      </c>
      <c r="B36" s="91" t="s">
        <v>102</v>
      </c>
      <c r="C36" s="92">
        <v>36754</v>
      </c>
      <c r="D36" s="41" t="s">
        <v>35</v>
      </c>
      <c r="E36" s="41" t="s">
        <v>14</v>
      </c>
      <c r="F36" s="41" t="s">
        <v>15</v>
      </c>
      <c r="G36" s="41" t="s">
        <v>33</v>
      </c>
      <c r="H36" s="93">
        <v>0.15</v>
      </c>
      <c r="I36" s="94">
        <f t="shared" si="12"/>
        <v>6105</v>
      </c>
      <c r="J36" s="95">
        <v>36892</v>
      </c>
      <c r="K36" s="96">
        <v>40700</v>
      </c>
      <c r="L36" s="97" t="s">
        <v>25</v>
      </c>
      <c r="M36" s="93" t="s">
        <v>34</v>
      </c>
      <c r="O36" s="62">
        <f t="shared" si="13"/>
        <v>203.5</v>
      </c>
      <c r="Q36" s="100">
        <v>9.5649999999999995</v>
      </c>
      <c r="T36" s="62">
        <f>(4.4-Q36)*K36</f>
        <v>-210215.49999999997</v>
      </c>
      <c r="AA36" s="91" t="s">
        <v>201</v>
      </c>
      <c r="AB36" s="41" t="s">
        <v>296</v>
      </c>
    </row>
    <row r="37" spans="1:28" x14ac:dyDescent="0.2">
      <c r="A37" s="91">
        <v>4</v>
      </c>
      <c r="B37" s="91" t="s">
        <v>102</v>
      </c>
      <c r="C37" s="92">
        <v>36754</v>
      </c>
      <c r="D37" s="41" t="s">
        <v>35</v>
      </c>
      <c r="E37" s="41" t="s">
        <v>14</v>
      </c>
      <c r="F37" s="41" t="s">
        <v>15</v>
      </c>
      <c r="G37" s="41" t="s">
        <v>33</v>
      </c>
      <c r="H37" s="93">
        <v>0.15</v>
      </c>
      <c r="I37" s="94">
        <f t="shared" si="12"/>
        <v>6105</v>
      </c>
      <c r="J37" s="95">
        <v>36923</v>
      </c>
      <c r="K37" s="96">
        <v>40700</v>
      </c>
      <c r="L37" s="97" t="s">
        <v>25</v>
      </c>
      <c r="M37" s="93" t="s">
        <v>34</v>
      </c>
      <c r="O37" s="62">
        <f t="shared" si="13"/>
        <v>203.5</v>
      </c>
      <c r="AA37" s="91" t="s">
        <v>201</v>
      </c>
      <c r="AB37" s="41" t="s">
        <v>296</v>
      </c>
    </row>
    <row r="39" spans="1:28" s="54" customFormat="1" x14ac:dyDescent="0.2">
      <c r="A39" s="52">
        <v>5</v>
      </c>
      <c r="B39" s="52" t="s">
        <v>72</v>
      </c>
      <c r="C39" s="53">
        <v>36760</v>
      </c>
      <c r="D39" s="54" t="s">
        <v>42</v>
      </c>
      <c r="E39" s="54" t="s">
        <v>14</v>
      </c>
      <c r="F39" s="54" t="s">
        <v>15</v>
      </c>
      <c r="G39" s="54" t="s">
        <v>33</v>
      </c>
      <c r="H39" s="55">
        <v>0</v>
      </c>
      <c r="I39" s="56">
        <f t="shared" ref="I39:I44" si="14">+H39*K39</f>
        <v>0</v>
      </c>
      <c r="J39" s="66">
        <v>36770</v>
      </c>
      <c r="K39" s="50">
        <v>30000</v>
      </c>
      <c r="L39" s="57" t="s">
        <v>25</v>
      </c>
      <c r="M39" s="55" t="s">
        <v>43</v>
      </c>
      <c r="N39" s="58"/>
      <c r="O39" s="51">
        <f t="shared" ref="O39:O44" si="15">0.005*K39</f>
        <v>150</v>
      </c>
      <c r="Q39" s="59">
        <v>4.45</v>
      </c>
      <c r="R39" s="60"/>
      <c r="T39" s="51">
        <v>0</v>
      </c>
      <c r="U39" s="61"/>
      <c r="V39" s="61"/>
      <c r="Y39" s="54" t="s">
        <v>61</v>
      </c>
      <c r="AA39" s="52"/>
      <c r="AB39" s="54" t="s">
        <v>297</v>
      </c>
    </row>
    <row r="40" spans="1:28" s="54" customFormat="1" x14ac:dyDescent="0.2">
      <c r="A40" s="52">
        <v>5</v>
      </c>
      <c r="B40" s="52" t="s">
        <v>72</v>
      </c>
      <c r="C40" s="53">
        <v>36760</v>
      </c>
      <c r="D40" s="54" t="s">
        <v>42</v>
      </c>
      <c r="E40" s="54" t="s">
        <v>14</v>
      </c>
      <c r="F40" s="54" t="s">
        <v>15</v>
      </c>
      <c r="G40" s="54" t="s">
        <v>33</v>
      </c>
      <c r="H40" s="55">
        <v>0</v>
      </c>
      <c r="I40" s="56">
        <f t="shared" si="14"/>
        <v>0</v>
      </c>
      <c r="J40" s="66">
        <v>36800</v>
      </c>
      <c r="K40" s="50">
        <v>30000</v>
      </c>
      <c r="L40" s="57" t="s">
        <v>25</v>
      </c>
      <c r="M40" s="55" t="s">
        <v>43</v>
      </c>
      <c r="N40" s="58"/>
      <c r="O40" s="51">
        <f t="shared" si="15"/>
        <v>150</v>
      </c>
      <c r="Q40" s="59">
        <v>5.1050000000000004</v>
      </c>
      <c r="R40" s="60"/>
      <c r="T40" s="51">
        <v>0</v>
      </c>
      <c r="U40" s="61"/>
      <c r="V40" s="61"/>
      <c r="AA40" s="52"/>
      <c r="AB40" s="54" t="s">
        <v>297</v>
      </c>
    </row>
    <row r="41" spans="1:28" s="54" customFormat="1" x14ac:dyDescent="0.2">
      <c r="A41" s="52">
        <v>5</v>
      </c>
      <c r="B41" s="52" t="s">
        <v>72</v>
      </c>
      <c r="C41" s="53">
        <v>36760</v>
      </c>
      <c r="D41" s="54" t="s">
        <v>42</v>
      </c>
      <c r="E41" s="54" t="s">
        <v>14</v>
      </c>
      <c r="F41" s="54" t="s">
        <v>15</v>
      </c>
      <c r="G41" s="54" t="s">
        <v>33</v>
      </c>
      <c r="H41" s="55">
        <v>0</v>
      </c>
      <c r="I41" s="56">
        <f t="shared" si="14"/>
        <v>0</v>
      </c>
      <c r="J41" s="66">
        <v>36831</v>
      </c>
      <c r="K41" s="50">
        <v>30000</v>
      </c>
      <c r="L41" s="57" t="s">
        <v>25</v>
      </c>
      <c r="M41" s="55" t="s">
        <v>43</v>
      </c>
      <c r="N41" s="58"/>
      <c r="O41" s="51">
        <f t="shared" si="15"/>
        <v>150</v>
      </c>
      <c r="Q41" s="59">
        <v>4.3099999999999996</v>
      </c>
      <c r="R41" s="60"/>
      <c r="T41" s="51">
        <v>0</v>
      </c>
      <c r="U41" s="61"/>
      <c r="V41" s="61"/>
      <c r="AA41" s="52"/>
      <c r="AB41" s="54" t="s">
        <v>297</v>
      </c>
    </row>
    <row r="42" spans="1:28" s="54" customFormat="1" x14ac:dyDescent="0.2">
      <c r="A42" s="52">
        <v>5</v>
      </c>
      <c r="B42" s="52" t="s">
        <v>72</v>
      </c>
      <c r="C42" s="53">
        <v>36760</v>
      </c>
      <c r="D42" s="54" t="s">
        <v>42</v>
      </c>
      <c r="E42" s="54" t="s">
        <v>14</v>
      </c>
      <c r="F42" s="54" t="s">
        <v>15</v>
      </c>
      <c r="G42" s="54" t="s">
        <v>33</v>
      </c>
      <c r="H42" s="55">
        <v>0</v>
      </c>
      <c r="I42" s="56">
        <f t="shared" si="14"/>
        <v>0</v>
      </c>
      <c r="J42" s="66">
        <v>36861</v>
      </c>
      <c r="K42" s="50">
        <v>30000</v>
      </c>
      <c r="L42" s="57" t="s">
        <v>25</v>
      </c>
      <c r="M42" s="55" t="s">
        <v>43</v>
      </c>
      <c r="N42" s="58"/>
      <c r="O42" s="51">
        <f t="shared" si="15"/>
        <v>150</v>
      </c>
      <c r="Q42" s="59">
        <v>5.7750000000000004</v>
      </c>
      <c r="R42" s="60"/>
      <c r="T42" s="51">
        <v>0</v>
      </c>
      <c r="U42" s="61"/>
      <c r="V42" s="61"/>
      <c r="AA42" s="52"/>
      <c r="AB42" s="54" t="s">
        <v>297</v>
      </c>
    </row>
    <row r="43" spans="1:28" s="54" customFormat="1" x14ac:dyDescent="0.2">
      <c r="A43" s="52">
        <v>5</v>
      </c>
      <c r="B43" s="52" t="s">
        <v>72</v>
      </c>
      <c r="C43" s="53">
        <v>36760</v>
      </c>
      <c r="D43" s="54" t="s">
        <v>42</v>
      </c>
      <c r="E43" s="54" t="s">
        <v>14</v>
      </c>
      <c r="F43" s="54" t="s">
        <v>15</v>
      </c>
      <c r="G43" s="54" t="s">
        <v>33</v>
      </c>
      <c r="H43" s="55">
        <v>0</v>
      </c>
      <c r="I43" s="56">
        <f t="shared" si="14"/>
        <v>0</v>
      </c>
      <c r="J43" s="66">
        <v>36892</v>
      </c>
      <c r="K43" s="50">
        <v>30000</v>
      </c>
      <c r="L43" s="57" t="s">
        <v>25</v>
      </c>
      <c r="M43" s="55" t="s">
        <v>43</v>
      </c>
      <c r="N43" s="58"/>
      <c r="O43" s="51">
        <f t="shared" si="15"/>
        <v>150</v>
      </c>
      <c r="Q43" s="100">
        <v>9.5649999999999995</v>
      </c>
      <c r="R43" s="60"/>
      <c r="T43" s="62">
        <f>(7-Q43)*K43</f>
        <v>-76949.999999999985</v>
      </c>
      <c r="U43" s="61"/>
      <c r="V43" s="61"/>
      <c r="AA43" s="52"/>
      <c r="AB43" s="54" t="s">
        <v>297</v>
      </c>
    </row>
    <row r="44" spans="1:28" s="54" customFormat="1" x14ac:dyDescent="0.2">
      <c r="A44" s="52">
        <v>5</v>
      </c>
      <c r="B44" s="52" t="s">
        <v>72</v>
      </c>
      <c r="C44" s="53">
        <v>36760</v>
      </c>
      <c r="D44" s="54" t="s">
        <v>42</v>
      </c>
      <c r="E44" s="54" t="s">
        <v>14</v>
      </c>
      <c r="F44" s="54" t="s">
        <v>15</v>
      </c>
      <c r="G44" s="54" t="s">
        <v>33</v>
      </c>
      <c r="H44" s="55">
        <v>0</v>
      </c>
      <c r="I44" s="56">
        <f t="shared" si="14"/>
        <v>0</v>
      </c>
      <c r="J44" s="66">
        <v>36923</v>
      </c>
      <c r="K44" s="50">
        <v>30000</v>
      </c>
      <c r="L44" s="57" t="s">
        <v>25</v>
      </c>
      <c r="M44" s="55" t="s">
        <v>43</v>
      </c>
      <c r="N44" s="58"/>
      <c r="O44" s="51">
        <f t="shared" si="15"/>
        <v>150</v>
      </c>
      <c r="Q44" s="59"/>
      <c r="R44" s="60"/>
      <c r="T44" s="51"/>
      <c r="U44" s="61"/>
      <c r="V44" s="61"/>
      <c r="AA44" s="52"/>
      <c r="AB44" s="54" t="s">
        <v>297</v>
      </c>
    </row>
    <row r="46" spans="1:28" x14ac:dyDescent="0.2">
      <c r="A46" s="91">
        <v>6</v>
      </c>
      <c r="B46" s="91" t="s">
        <v>71</v>
      </c>
      <c r="C46" s="92">
        <v>36760</v>
      </c>
      <c r="D46" s="41" t="s">
        <v>44</v>
      </c>
      <c r="E46" s="41" t="s">
        <v>14</v>
      </c>
      <c r="F46" s="41" t="s">
        <v>15</v>
      </c>
      <c r="G46" s="41" t="s">
        <v>33</v>
      </c>
      <c r="H46" s="93">
        <v>0.15</v>
      </c>
      <c r="I46" s="94">
        <f t="shared" ref="I46:I54" si="16">+H46*K46</f>
        <v>7500</v>
      </c>
      <c r="J46" s="95">
        <v>36770</v>
      </c>
      <c r="K46" s="96">
        <v>50000</v>
      </c>
      <c r="L46" s="97" t="s">
        <v>25</v>
      </c>
      <c r="M46" s="93" t="s">
        <v>45</v>
      </c>
      <c r="O46" s="62">
        <f t="shared" ref="O46:O54" si="17">0.01*K46</f>
        <v>500</v>
      </c>
      <c r="Q46" s="100">
        <v>4.45</v>
      </c>
      <c r="T46" s="62">
        <v>0</v>
      </c>
      <c r="Y46" s="41" t="s">
        <v>62</v>
      </c>
      <c r="AA46" s="91" t="s">
        <v>201</v>
      </c>
      <c r="AB46" s="41" t="s">
        <v>296</v>
      </c>
    </row>
    <row r="47" spans="1:28" x14ac:dyDescent="0.2">
      <c r="A47" s="91">
        <v>6</v>
      </c>
      <c r="B47" s="91" t="s">
        <v>71</v>
      </c>
      <c r="C47" s="92">
        <v>36760</v>
      </c>
      <c r="D47" s="41" t="s">
        <v>44</v>
      </c>
      <c r="E47" s="41" t="s">
        <v>14</v>
      </c>
      <c r="F47" s="41" t="s">
        <v>15</v>
      </c>
      <c r="G47" s="41" t="s">
        <v>33</v>
      </c>
      <c r="H47" s="93">
        <v>0.15</v>
      </c>
      <c r="I47" s="94">
        <f t="shared" si="16"/>
        <v>7500</v>
      </c>
      <c r="J47" s="95">
        <v>36800</v>
      </c>
      <c r="K47" s="96">
        <v>50000</v>
      </c>
      <c r="L47" s="97" t="s">
        <v>25</v>
      </c>
      <c r="M47" s="93" t="s">
        <v>45</v>
      </c>
      <c r="O47" s="62">
        <f t="shared" si="17"/>
        <v>500</v>
      </c>
      <c r="Q47" s="100">
        <v>5.1050000000000004</v>
      </c>
      <c r="T47" s="62">
        <f>(4.5-Q47)*K47</f>
        <v>-30250.000000000022</v>
      </c>
      <c r="AA47" s="91" t="s">
        <v>201</v>
      </c>
      <c r="AB47" s="41" t="s">
        <v>296</v>
      </c>
    </row>
    <row r="48" spans="1:28" x14ac:dyDescent="0.2">
      <c r="A48" s="91">
        <v>6</v>
      </c>
      <c r="B48" s="91" t="s">
        <v>71</v>
      </c>
      <c r="C48" s="92">
        <v>36760</v>
      </c>
      <c r="D48" s="41" t="s">
        <v>44</v>
      </c>
      <c r="E48" s="41" t="s">
        <v>14</v>
      </c>
      <c r="F48" s="41" t="s">
        <v>15</v>
      </c>
      <c r="G48" s="41" t="s">
        <v>33</v>
      </c>
      <c r="H48" s="93">
        <v>0.15</v>
      </c>
      <c r="I48" s="94">
        <f t="shared" si="16"/>
        <v>7500</v>
      </c>
      <c r="J48" s="95">
        <v>36831</v>
      </c>
      <c r="K48" s="96">
        <v>50000</v>
      </c>
      <c r="L48" s="97" t="s">
        <v>25</v>
      </c>
      <c r="M48" s="93" t="s">
        <v>45</v>
      </c>
      <c r="O48" s="62">
        <f t="shared" si="17"/>
        <v>500</v>
      </c>
      <c r="Q48" s="100">
        <v>4.3099999999999996</v>
      </c>
      <c r="T48" s="62">
        <v>0</v>
      </c>
      <c r="AA48" s="91" t="s">
        <v>201</v>
      </c>
      <c r="AB48" s="41" t="s">
        <v>296</v>
      </c>
    </row>
    <row r="49" spans="1:28" x14ac:dyDescent="0.2">
      <c r="A49" s="91">
        <v>6</v>
      </c>
      <c r="B49" s="91" t="s">
        <v>71</v>
      </c>
      <c r="C49" s="92">
        <v>36760</v>
      </c>
      <c r="D49" s="41" t="s">
        <v>44</v>
      </c>
      <c r="E49" s="41" t="s">
        <v>14</v>
      </c>
      <c r="F49" s="41" t="s">
        <v>15</v>
      </c>
      <c r="G49" s="41" t="s">
        <v>33</v>
      </c>
      <c r="H49" s="93">
        <v>0.15</v>
      </c>
      <c r="I49" s="94">
        <f t="shared" si="16"/>
        <v>7500</v>
      </c>
      <c r="J49" s="95">
        <v>36861</v>
      </c>
      <c r="K49" s="96">
        <v>50000</v>
      </c>
      <c r="L49" s="97" t="s">
        <v>25</v>
      </c>
      <c r="M49" s="93" t="s">
        <v>45</v>
      </c>
      <c r="O49" s="62">
        <f t="shared" si="17"/>
        <v>500</v>
      </c>
      <c r="Q49" s="100">
        <v>5.7750000000000004</v>
      </c>
      <c r="T49" s="62">
        <f>(4.5-Q49)*K49</f>
        <v>-63750.000000000015</v>
      </c>
      <c r="AA49" s="91" t="s">
        <v>201</v>
      </c>
      <c r="AB49" s="41" t="s">
        <v>296</v>
      </c>
    </row>
    <row r="50" spans="1:28" x14ac:dyDescent="0.2">
      <c r="A50" s="91">
        <v>6</v>
      </c>
      <c r="B50" s="91" t="s">
        <v>71</v>
      </c>
      <c r="C50" s="92">
        <v>36760</v>
      </c>
      <c r="D50" s="41" t="s">
        <v>44</v>
      </c>
      <c r="E50" s="41" t="s">
        <v>14</v>
      </c>
      <c r="F50" s="41" t="s">
        <v>15</v>
      </c>
      <c r="G50" s="41" t="s">
        <v>33</v>
      </c>
      <c r="H50" s="93">
        <v>0.15</v>
      </c>
      <c r="I50" s="94">
        <f t="shared" si="16"/>
        <v>7500</v>
      </c>
      <c r="J50" s="95">
        <v>36892</v>
      </c>
      <c r="K50" s="96">
        <v>50000</v>
      </c>
      <c r="L50" s="97" t="s">
        <v>25</v>
      </c>
      <c r="M50" s="93" t="s">
        <v>45</v>
      </c>
      <c r="O50" s="62">
        <f t="shared" si="17"/>
        <v>500</v>
      </c>
      <c r="Q50" s="100">
        <v>9.5649999999999995</v>
      </c>
      <c r="T50" s="62">
        <f>(4.5-Q50)*K50</f>
        <v>-253249.99999999997</v>
      </c>
      <c r="AA50" s="91" t="s">
        <v>201</v>
      </c>
      <c r="AB50" s="41" t="s">
        <v>296</v>
      </c>
    </row>
    <row r="51" spans="1:28" x14ac:dyDescent="0.2">
      <c r="A51" s="91">
        <v>6</v>
      </c>
      <c r="B51" s="91" t="s">
        <v>71</v>
      </c>
      <c r="C51" s="92">
        <v>36760</v>
      </c>
      <c r="D51" s="41" t="s">
        <v>44</v>
      </c>
      <c r="E51" s="41" t="s">
        <v>14</v>
      </c>
      <c r="F51" s="41" t="s">
        <v>15</v>
      </c>
      <c r="G51" s="41" t="s">
        <v>33</v>
      </c>
      <c r="H51" s="93">
        <v>0.15</v>
      </c>
      <c r="I51" s="94">
        <f t="shared" si="16"/>
        <v>7500</v>
      </c>
      <c r="J51" s="95">
        <v>36923</v>
      </c>
      <c r="K51" s="96">
        <v>50000</v>
      </c>
      <c r="L51" s="97" t="s">
        <v>25</v>
      </c>
      <c r="M51" s="93" t="s">
        <v>45</v>
      </c>
      <c r="O51" s="62">
        <f t="shared" si="17"/>
        <v>500</v>
      </c>
      <c r="AA51" s="91" t="s">
        <v>201</v>
      </c>
      <c r="AB51" s="41" t="s">
        <v>296</v>
      </c>
    </row>
    <row r="52" spans="1:28" x14ac:dyDescent="0.2">
      <c r="A52" s="91">
        <v>6</v>
      </c>
      <c r="B52" s="91" t="s">
        <v>71</v>
      </c>
      <c r="C52" s="92">
        <v>36760</v>
      </c>
      <c r="D52" s="41" t="s">
        <v>44</v>
      </c>
      <c r="E52" s="41" t="s">
        <v>14</v>
      </c>
      <c r="F52" s="41" t="s">
        <v>15</v>
      </c>
      <c r="G52" s="41" t="s">
        <v>33</v>
      </c>
      <c r="H52" s="93">
        <v>0.15</v>
      </c>
      <c r="I52" s="94">
        <f t="shared" si="16"/>
        <v>4500</v>
      </c>
      <c r="J52" s="95">
        <v>36951</v>
      </c>
      <c r="K52" s="96">
        <v>30000</v>
      </c>
      <c r="L52" s="97" t="s">
        <v>25</v>
      </c>
      <c r="M52" s="93" t="s">
        <v>45</v>
      </c>
      <c r="O52" s="62">
        <f t="shared" si="17"/>
        <v>300</v>
      </c>
      <c r="AA52" s="91" t="s">
        <v>201</v>
      </c>
      <c r="AB52" s="41" t="s">
        <v>296</v>
      </c>
    </row>
    <row r="53" spans="1:28" x14ac:dyDescent="0.2">
      <c r="A53" s="91">
        <v>6</v>
      </c>
      <c r="B53" s="91" t="s">
        <v>71</v>
      </c>
      <c r="C53" s="92">
        <v>36760</v>
      </c>
      <c r="D53" s="41" t="s">
        <v>44</v>
      </c>
      <c r="E53" s="41" t="s">
        <v>14</v>
      </c>
      <c r="F53" s="41" t="s">
        <v>15</v>
      </c>
      <c r="G53" s="41" t="s">
        <v>33</v>
      </c>
      <c r="H53" s="93">
        <v>0.15</v>
      </c>
      <c r="I53" s="94">
        <f t="shared" si="16"/>
        <v>4500</v>
      </c>
      <c r="J53" s="95">
        <v>36982</v>
      </c>
      <c r="K53" s="96">
        <v>30000</v>
      </c>
      <c r="L53" s="97" t="s">
        <v>25</v>
      </c>
      <c r="M53" s="93" t="s">
        <v>45</v>
      </c>
      <c r="O53" s="62">
        <f t="shared" si="17"/>
        <v>300</v>
      </c>
      <c r="AA53" s="91" t="s">
        <v>201</v>
      </c>
      <c r="AB53" s="41" t="s">
        <v>296</v>
      </c>
    </row>
    <row r="54" spans="1:28" x14ac:dyDescent="0.2">
      <c r="A54" s="91">
        <v>6</v>
      </c>
      <c r="B54" s="91" t="s">
        <v>71</v>
      </c>
      <c r="C54" s="92">
        <v>36760</v>
      </c>
      <c r="D54" s="41" t="s">
        <v>44</v>
      </c>
      <c r="E54" s="41" t="s">
        <v>14</v>
      </c>
      <c r="F54" s="41" t="s">
        <v>15</v>
      </c>
      <c r="G54" s="41" t="s">
        <v>33</v>
      </c>
      <c r="H54" s="93">
        <v>0.15</v>
      </c>
      <c r="I54" s="94">
        <f t="shared" si="16"/>
        <v>4500</v>
      </c>
      <c r="J54" s="95">
        <v>37012</v>
      </c>
      <c r="K54" s="96">
        <v>30000</v>
      </c>
      <c r="L54" s="97" t="s">
        <v>25</v>
      </c>
      <c r="M54" s="93" t="s">
        <v>45</v>
      </c>
      <c r="O54" s="62">
        <f t="shared" si="17"/>
        <v>300</v>
      </c>
      <c r="AA54" s="91" t="s">
        <v>201</v>
      </c>
      <c r="AB54" s="41" t="s">
        <v>296</v>
      </c>
    </row>
    <row r="56" spans="1:28" s="54" customFormat="1" x14ac:dyDescent="0.2">
      <c r="A56" s="52">
        <v>7</v>
      </c>
      <c r="B56" s="52" t="s">
        <v>68</v>
      </c>
      <c r="C56" s="53">
        <v>36760</v>
      </c>
      <c r="D56" s="54" t="s">
        <v>46</v>
      </c>
      <c r="E56" s="54" t="s">
        <v>14</v>
      </c>
      <c r="F56" s="54" t="s">
        <v>15</v>
      </c>
      <c r="G56" s="54" t="s">
        <v>33</v>
      </c>
      <c r="H56" s="55">
        <v>0</v>
      </c>
      <c r="I56" s="56">
        <f t="shared" ref="I56:I61" si="18">+H56*K56</f>
        <v>0</v>
      </c>
      <c r="J56" s="66">
        <v>36770</v>
      </c>
      <c r="K56" s="50">
        <v>20000</v>
      </c>
      <c r="L56" s="57" t="s">
        <v>25</v>
      </c>
      <c r="M56" s="55" t="s">
        <v>47</v>
      </c>
      <c r="N56" s="58"/>
      <c r="O56" s="51">
        <f t="shared" ref="O56:O61" si="19">0.005*K56</f>
        <v>100</v>
      </c>
      <c r="Q56" s="59">
        <v>4.45</v>
      </c>
      <c r="R56" s="60"/>
      <c r="T56" s="51">
        <v>0</v>
      </c>
      <c r="U56" s="61"/>
      <c r="V56" s="61"/>
      <c r="Y56" s="54" t="s">
        <v>57</v>
      </c>
      <c r="AA56" s="52"/>
      <c r="AB56" s="41" t="s">
        <v>296</v>
      </c>
    </row>
    <row r="57" spans="1:28" s="54" customFormat="1" x14ac:dyDescent="0.2">
      <c r="A57" s="52">
        <v>7</v>
      </c>
      <c r="B57" s="52" t="s">
        <v>68</v>
      </c>
      <c r="C57" s="53">
        <v>36760</v>
      </c>
      <c r="D57" s="54" t="s">
        <v>46</v>
      </c>
      <c r="E57" s="54" t="s">
        <v>14</v>
      </c>
      <c r="F57" s="54" t="s">
        <v>15</v>
      </c>
      <c r="G57" s="54" t="s">
        <v>33</v>
      </c>
      <c r="H57" s="55">
        <v>0</v>
      </c>
      <c r="I57" s="56">
        <f t="shared" si="18"/>
        <v>0</v>
      </c>
      <c r="J57" s="66">
        <v>36800</v>
      </c>
      <c r="K57" s="50">
        <v>20000</v>
      </c>
      <c r="L57" s="57" t="s">
        <v>25</v>
      </c>
      <c r="M57" s="55" t="s">
        <v>47</v>
      </c>
      <c r="N57" s="58"/>
      <c r="O57" s="51">
        <f t="shared" si="19"/>
        <v>100</v>
      </c>
      <c r="Q57" s="59">
        <v>5.1050000000000004</v>
      </c>
      <c r="R57" s="60"/>
      <c r="T57" s="51">
        <v>0</v>
      </c>
      <c r="U57" s="61"/>
      <c r="V57" s="61"/>
      <c r="AA57" s="52"/>
      <c r="AB57" s="41" t="s">
        <v>296</v>
      </c>
    </row>
    <row r="58" spans="1:28" s="54" customFormat="1" x14ac:dyDescent="0.2">
      <c r="A58" s="52">
        <v>7</v>
      </c>
      <c r="B58" s="52" t="s">
        <v>68</v>
      </c>
      <c r="C58" s="53">
        <v>36760</v>
      </c>
      <c r="D58" s="54" t="s">
        <v>46</v>
      </c>
      <c r="E58" s="54" t="s">
        <v>14</v>
      </c>
      <c r="F58" s="54" t="s">
        <v>15</v>
      </c>
      <c r="G58" s="54" t="s">
        <v>33</v>
      </c>
      <c r="H58" s="55">
        <v>0</v>
      </c>
      <c r="I58" s="56">
        <f t="shared" si="18"/>
        <v>0</v>
      </c>
      <c r="J58" s="66">
        <v>36831</v>
      </c>
      <c r="K58" s="50">
        <v>20000</v>
      </c>
      <c r="L58" s="57" t="s">
        <v>25</v>
      </c>
      <c r="M58" s="55" t="s">
        <v>47</v>
      </c>
      <c r="N58" s="58"/>
      <c r="O58" s="51">
        <f t="shared" si="19"/>
        <v>100</v>
      </c>
      <c r="Q58" s="59">
        <v>4.3099999999999996</v>
      </c>
      <c r="R58" s="60"/>
      <c r="T58" s="51">
        <v>0</v>
      </c>
      <c r="U58" s="61"/>
      <c r="V58" s="61"/>
      <c r="AA58" s="52"/>
      <c r="AB58" s="41" t="s">
        <v>296</v>
      </c>
    </row>
    <row r="59" spans="1:28" s="54" customFormat="1" x14ac:dyDescent="0.2">
      <c r="A59" s="52">
        <v>7</v>
      </c>
      <c r="B59" s="52" t="s">
        <v>68</v>
      </c>
      <c r="C59" s="53">
        <v>36760</v>
      </c>
      <c r="D59" s="54" t="s">
        <v>46</v>
      </c>
      <c r="E59" s="54" t="s">
        <v>14</v>
      </c>
      <c r="F59" s="54" t="s">
        <v>15</v>
      </c>
      <c r="G59" s="54" t="s">
        <v>33</v>
      </c>
      <c r="H59" s="55">
        <v>0</v>
      </c>
      <c r="I59" s="56">
        <f t="shared" si="18"/>
        <v>0</v>
      </c>
      <c r="J59" s="66">
        <v>36861</v>
      </c>
      <c r="K59" s="50">
        <v>20000</v>
      </c>
      <c r="L59" s="57" t="s">
        <v>25</v>
      </c>
      <c r="M59" s="55" t="s">
        <v>47</v>
      </c>
      <c r="N59" s="58"/>
      <c r="O59" s="51">
        <f t="shared" si="19"/>
        <v>100</v>
      </c>
      <c r="Q59" s="59">
        <v>5.7750000000000004</v>
      </c>
      <c r="R59" s="60"/>
      <c r="T59" s="51">
        <v>0</v>
      </c>
      <c r="U59" s="61"/>
      <c r="V59" s="61"/>
      <c r="AA59" s="52"/>
      <c r="AB59" s="41" t="s">
        <v>296</v>
      </c>
    </row>
    <row r="60" spans="1:28" s="54" customFormat="1" x14ac:dyDescent="0.2">
      <c r="A60" s="52">
        <v>7</v>
      </c>
      <c r="B60" s="52" t="s">
        <v>68</v>
      </c>
      <c r="C60" s="53">
        <v>36760</v>
      </c>
      <c r="D60" s="54" t="s">
        <v>46</v>
      </c>
      <c r="E60" s="54" t="s">
        <v>14</v>
      </c>
      <c r="F60" s="54" t="s">
        <v>15</v>
      </c>
      <c r="G60" s="54" t="s">
        <v>33</v>
      </c>
      <c r="H60" s="55">
        <v>0</v>
      </c>
      <c r="I60" s="56">
        <f t="shared" si="18"/>
        <v>0</v>
      </c>
      <c r="J60" s="66">
        <v>36892</v>
      </c>
      <c r="K60" s="50">
        <v>20000</v>
      </c>
      <c r="L60" s="57" t="s">
        <v>25</v>
      </c>
      <c r="M60" s="55" t="s">
        <v>47</v>
      </c>
      <c r="N60" s="58"/>
      <c r="O60" s="51">
        <f t="shared" si="19"/>
        <v>100</v>
      </c>
      <c r="Q60" s="100">
        <v>9.5649999999999995</v>
      </c>
      <c r="R60" s="60"/>
      <c r="T60" s="62">
        <f>(9-Q60)*K60</f>
        <v>-11299.999999999991</v>
      </c>
      <c r="U60" s="61"/>
      <c r="V60" s="61"/>
      <c r="AA60" s="52"/>
      <c r="AB60" s="41" t="s">
        <v>296</v>
      </c>
    </row>
    <row r="61" spans="1:28" s="54" customFormat="1" x14ac:dyDescent="0.2">
      <c r="A61" s="52">
        <v>7</v>
      </c>
      <c r="B61" s="52" t="s">
        <v>68</v>
      </c>
      <c r="C61" s="53">
        <v>36760</v>
      </c>
      <c r="D61" s="54" t="s">
        <v>46</v>
      </c>
      <c r="E61" s="54" t="s">
        <v>14</v>
      </c>
      <c r="F61" s="54" t="s">
        <v>15</v>
      </c>
      <c r="G61" s="54" t="s">
        <v>33</v>
      </c>
      <c r="H61" s="55">
        <v>0</v>
      </c>
      <c r="I61" s="56">
        <f t="shared" si="18"/>
        <v>0</v>
      </c>
      <c r="J61" s="66">
        <v>36923</v>
      </c>
      <c r="K61" s="50">
        <v>20000</v>
      </c>
      <c r="L61" s="57" t="s">
        <v>25</v>
      </c>
      <c r="M61" s="55" t="s">
        <v>47</v>
      </c>
      <c r="N61" s="58"/>
      <c r="O61" s="51">
        <f t="shared" si="19"/>
        <v>100</v>
      </c>
      <c r="Q61" s="59"/>
      <c r="R61" s="60"/>
      <c r="T61" s="51"/>
      <c r="U61" s="61"/>
      <c r="V61" s="61"/>
      <c r="AA61" s="52"/>
      <c r="AB61" s="41" t="s">
        <v>296</v>
      </c>
    </row>
    <row r="62" spans="1:28" s="54" customFormat="1" x14ac:dyDescent="0.2">
      <c r="A62" s="52"/>
      <c r="B62" s="52"/>
      <c r="C62" s="53"/>
      <c r="H62" s="55"/>
      <c r="I62" s="56"/>
      <c r="J62" s="67"/>
      <c r="K62" s="50"/>
      <c r="L62" s="57"/>
      <c r="M62" s="55"/>
      <c r="N62" s="58"/>
      <c r="O62" s="51"/>
      <c r="Q62" s="59"/>
      <c r="R62" s="60"/>
      <c r="T62" s="51"/>
      <c r="U62" s="61"/>
      <c r="V62" s="61"/>
      <c r="AA62" s="52"/>
      <c r="AB62" s="41"/>
    </row>
    <row r="63" spans="1:28" s="54" customFormat="1" x14ac:dyDescent="0.2">
      <c r="A63" s="52">
        <v>8</v>
      </c>
      <c r="B63" s="52" t="s">
        <v>69</v>
      </c>
      <c r="C63" s="53">
        <v>36760</v>
      </c>
      <c r="D63" s="54" t="s">
        <v>48</v>
      </c>
      <c r="E63" s="54" t="s">
        <v>14</v>
      </c>
      <c r="F63" s="54" t="s">
        <v>15</v>
      </c>
      <c r="G63" s="54" t="s">
        <v>33</v>
      </c>
      <c r="H63" s="55">
        <v>0</v>
      </c>
      <c r="I63" s="56">
        <f t="shared" ref="I63:I68" si="20">+H63*K63</f>
        <v>0</v>
      </c>
      <c r="J63" s="66">
        <v>36770</v>
      </c>
      <c r="K63" s="50">
        <v>10000</v>
      </c>
      <c r="L63" s="57" t="s">
        <v>25</v>
      </c>
      <c r="M63" s="55" t="s">
        <v>47</v>
      </c>
      <c r="N63" s="58"/>
      <c r="O63" s="51">
        <f t="shared" ref="O63:O68" si="21">0.005*K63</f>
        <v>50</v>
      </c>
      <c r="Q63" s="59">
        <v>4.45</v>
      </c>
      <c r="R63" s="60"/>
      <c r="T63" s="51">
        <v>0</v>
      </c>
      <c r="U63" s="61"/>
      <c r="V63" s="61"/>
      <c r="Y63" s="54" t="s">
        <v>57</v>
      </c>
      <c r="AA63" s="52"/>
      <c r="AB63" s="41" t="s">
        <v>296</v>
      </c>
    </row>
    <row r="64" spans="1:28" s="54" customFormat="1" x14ac:dyDescent="0.2">
      <c r="A64" s="52">
        <v>8</v>
      </c>
      <c r="B64" s="52" t="s">
        <v>69</v>
      </c>
      <c r="C64" s="53">
        <v>36760</v>
      </c>
      <c r="D64" s="54" t="s">
        <v>48</v>
      </c>
      <c r="E64" s="54" t="s">
        <v>14</v>
      </c>
      <c r="F64" s="54" t="s">
        <v>15</v>
      </c>
      <c r="G64" s="54" t="s">
        <v>33</v>
      </c>
      <c r="H64" s="55">
        <v>0</v>
      </c>
      <c r="I64" s="56">
        <f t="shared" si="20"/>
        <v>0</v>
      </c>
      <c r="J64" s="66">
        <v>36800</v>
      </c>
      <c r="K64" s="50">
        <v>10000</v>
      </c>
      <c r="L64" s="57" t="s">
        <v>25</v>
      </c>
      <c r="M64" s="55" t="s">
        <v>47</v>
      </c>
      <c r="N64" s="58"/>
      <c r="O64" s="51">
        <f t="shared" si="21"/>
        <v>50</v>
      </c>
      <c r="Q64" s="59">
        <v>5.1050000000000004</v>
      </c>
      <c r="R64" s="60"/>
      <c r="T64" s="51">
        <v>0</v>
      </c>
      <c r="U64" s="61"/>
      <c r="V64" s="61"/>
      <c r="AA64" s="52"/>
      <c r="AB64" s="41" t="s">
        <v>296</v>
      </c>
    </row>
    <row r="65" spans="1:28" s="54" customFormat="1" x14ac:dyDescent="0.2">
      <c r="A65" s="52">
        <v>8</v>
      </c>
      <c r="B65" s="52" t="s">
        <v>69</v>
      </c>
      <c r="C65" s="53">
        <v>36760</v>
      </c>
      <c r="D65" s="54" t="s">
        <v>48</v>
      </c>
      <c r="E65" s="54" t="s">
        <v>14</v>
      </c>
      <c r="F65" s="54" t="s">
        <v>15</v>
      </c>
      <c r="G65" s="54" t="s">
        <v>33</v>
      </c>
      <c r="H65" s="55">
        <v>0</v>
      </c>
      <c r="I65" s="56">
        <f t="shared" si="20"/>
        <v>0</v>
      </c>
      <c r="J65" s="66">
        <v>36831</v>
      </c>
      <c r="K65" s="50">
        <v>10000</v>
      </c>
      <c r="L65" s="57" t="s">
        <v>25</v>
      </c>
      <c r="M65" s="55" t="s">
        <v>47</v>
      </c>
      <c r="N65" s="58"/>
      <c r="O65" s="51">
        <f t="shared" si="21"/>
        <v>50</v>
      </c>
      <c r="Q65" s="59">
        <v>4.3099999999999996</v>
      </c>
      <c r="R65" s="60"/>
      <c r="T65" s="51">
        <v>0</v>
      </c>
      <c r="U65" s="61"/>
      <c r="V65" s="61"/>
      <c r="AA65" s="52"/>
      <c r="AB65" s="41" t="s">
        <v>296</v>
      </c>
    </row>
    <row r="66" spans="1:28" s="54" customFormat="1" x14ac:dyDescent="0.2">
      <c r="A66" s="52">
        <v>8</v>
      </c>
      <c r="B66" s="52" t="s">
        <v>69</v>
      </c>
      <c r="C66" s="53">
        <v>36760</v>
      </c>
      <c r="D66" s="54" t="s">
        <v>48</v>
      </c>
      <c r="E66" s="54" t="s">
        <v>14</v>
      </c>
      <c r="F66" s="54" t="s">
        <v>15</v>
      </c>
      <c r="G66" s="54" t="s">
        <v>33</v>
      </c>
      <c r="H66" s="55">
        <v>0</v>
      </c>
      <c r="I66" s="56">
        <f t="shared" si="20"/>
        <v>0</v>
      </c>
      <c r="J66" s="66">
        <v>36861</v>
      </c>
      <c r="K66" s="50">
        <v>10000</v>
      </c>
      <c r="L66" s="57" t="s">
        <v>25</v>
      </c>
      <c r="M66" s="55" t="s">
        <v>47</v>
      </c>
      <c r="N66" s="58"/>
      <c r="O66" s="51">
        <f t="shared" si="21"/>
        <v>50</v>
      </c>
      <c r="Q66" s="59">
        <v>5.7750000000000004</v>
      </c>
      <c r="R66" s="60"/>
      <c r="T66" s="51">
        <v>0</v>
      </c>
      <c r="U66" s="61"/>
      <c r="V66" s="61"/>
      <c r="AA66" s="52"/>
      <c r="AB66" s="41" t="s">
        <v>296</v>
      </c>
    </row>
    <row r="67" spans="1:28" s="54" customFormat="1" x14ac:dyDescent="0.2">
      <c r="A67" s="52">
        <v>8</v>
      </c>
      <c r="B67" s="52" t="s">
        <v>69</v>
      </c>
      <c r="C67" s="53">
        <v>36760</v>
      </c>
      <c r="D67" s="54" t="s">
        <v>48</v>
      </c>
      <c r="E67" s="54" t="s">
        <v>14</v>
      </c>
      <c r="F67" s="54" t="s">
        <v>15</v>
      </c>
      <c r="G67" s="54" t="s">
        <v>33</v>
      </c>
      <c r="H67" s="55">
        <v>0</v>
      </c>
      <c r="I67" s="56">
        <f t="shared" si="20"/>
        <v>0</v>
      </c>
      <c r="J67" s="66">
        <v>36892</v>
      </c>
      <c r="K67" s="50">
        <v>10000</v>
      </c>
      <c r="L67" s="57" t="s">
        <v>25</v>
      </c>
      <c r="M67" s="55" t="s">
        <v>47</v>
      </c>
      <c r="N67" s="58"/>
      <c r="O67" s="51">
        <f t="shared" si="21"/>
        <v>50</v>
      </c>
      <c r="Q67" s="100">
        <v>9.5649999999999995</v>
      </c>
      <c r="R67" s="60"/>
      <c r="T67" s="62">
        <f>(9-Q67)*K67</f>
        <v>-5649.9999999999955</v>
      </c>
      <c r="U67" s="61"/>
      <c r="V67" s="61"/>
      <c r="AA67" s="52"/>
      <c r="AB67" s="41" t="s">
        <v>296</v>
      </c>
    </row>
    <row r="68" spans="1:28" s="54" customFormat="1" x14ac:dyDescent="0.2">
      <c r="A68" s="52">
        <v>8</v>
      </c>
      <c r="B68" s="52" t="s">
        <v>69</v>
      </c>
      <c r="C68" s="53">
        <v>36760</v>
      </c>
      <c r="D68" s="54" t="s">
        <v>48</v>
      </c>
      <c r="E68" s="54" t="s">
        <v>14</v>
      </c>
      <c r="F68" s="54" t="s">
        <v>15</v>
      </c>
      <c r="G68" s="54" t="s">
        <v>33</v>
      </c>
      <c r="H68" s="55">
        <v>0</v>
      </c>
      <c r="I68" s="56">
        <f t="shared" si="20"/>
        <v>0</v>
      </c>
      <c r="J68" s="66">
        <v>36923</v>
      </c>
      <c r="K68" s="50">
        <v>10000</v>
      </c>
      <c r="L68" s="57" t="s">
        <v>25</v>
      </c>
      <c r="M68" s="55" t="s">
        <v>47</v>
      </c>
      <c r="N68" s="58"/>
      <c r="O68" s="51">
        <f t="shared" si="21"/>
        <v>50</v>
      </c>
      <c r="Q68" s="59"/>
      <c r="R68" s="60"/>
      <c r="T68" s="51"/>
      <c r="U68" s="61"/>
      <c r="V68" s="61"/>
      <c r="AA68" s="52"/>
      <c r="AB68" s="41" t="s">
        <v>296</v>
      </c>
    </row>
    <row r="69" spans="1:28" s="54" customFormat="1" x14ac:dyDescent="0.2">
      <c r="A69" s="52"/>
      <c r="B69" s="52"/>
      <c r="C69" s="53"/>
      <c r="H69" s="55"/>
      <c r="I69" s="56"/>
      <c r="J69" s="67"/>
      <c r="K69" s="50"/>
      <c r="L69" s="57"/>
      <c r="M69" s="55"/>
      <c r="N69" s="58"/>
      <c r="O69" s="51"/>
      <c r="Q69" s="59"/>
      <c r="R69" s="60"/>
      <c r="T69" s="51"/>
      <c r="U69" s="61"/>
      <c r="V69" s="61"/>
      <c r="AA69" s="52"/>
      <c r="AB69" s="41"/>
    </row>
    <row r="70" spans="1:28" s="54" customFormat="1" x14ac:dyDescent="0.2">
      <c r="A70" s="52">
        <v>9</v>
      </c>
      <c r="B70" s="52" t="s">
        <v>70</v>
      </c>
      <c r="C70" s="53">
        <v>36760</v>
      </c>
      <c r="D70" s="54" t="s">
        <v>49</v>
      </c>
      <c r="E70" s="54" t="s">
        <v>14</v>
      </c>
      <c r="F70" s="54" t="s">
        <v>15</v>
      </c>
      <c r="G70" s="54" t="s">
        <v>33</v>
      </c>
      <c r="H70" s="55">
        <v>0</v>
      </c>
      <c r="I70" s="56">
        <f t="shared" ref="I70:I75" si="22">+H70*K70</f>
        <v>0</v>
      </c>
      <c r="J70" s="66">
        <v>36770</v>
      </c>
      <c r="K70" s="50">
        <v>10000</v>
      </c>
      <c r="L70" s="57" t="s">
        <v>25</v>
      </c>
      <c r="M70" s="55" t="s">
        <v>47</v>
      </c>
      <c r="N70" s="58"/>
      <c r="O70" s="51">
        <f t="shared" ref="O70:O75" si="23">0.005*K70</f>
        <v>50</v>
      </c>
      <c r="Q70" s="59">
        <v>4.45</v>
      </c>
      <c r="R70" s="60"/>
      <c r="T70" s="51">
        <v>0</v>
      </c>
      <c r="U70" s="61"/>
      <c r="V70" s="61"/>
      <c r="Y70" s="54" t="s">
        <v>57</v>
      </c>
      <c r="AA70" s="52"/>
      <c r="AB70" s="41" t="s">
        <v>296</v>
      </c>
    </row>
    <row r="71" spans="1:28" s="54" customFormat="1" x14ac:dyDescent="0.2">
      <c r="A71" s="52">
        <v>9</v>
      </c>
      <c r="B71" s="52" t="s">
        <v>70</v>
      </c>
      <c r="C71" s="53">
        <v>36760</v>
      </c>
      <c r="D71" s="54" t="s">
        <v>49</v>
      </c>
      <c r="E71" s="54" t="s">
        <v>14</v>
      </c>
      <c r="F71" s="54" t="s">
        <v>15</v>
      </c>
      <c r="G71" s="54" t="s">
        <v>33</v>
      </c>
      <c r="H71" s="55">
        <v>0</v>
      </c>
      <c r="I71" s="56">
        <f t="shared" si="22"/>
        <v>0</v>
      </c>
      <c r="J71" s="66">
        <v>36800</v>
      </c>
      <c r="K71" s="50">
        <v>10000</v>
      </c>
      <c r="L71" s="57" t="s">
        <v>25</v>
      </c>
      <c r="M71" s="55" t="s">
        <v>47</v>
      </c>
      <c r="N71" s="58"/>
      <c r="O71" s="51">
        <f t="shared" si="23"/>
        <v>50</v>
      </c>
      <c r="Q71" s="59">
        <v>5.1050000000000004</v>
      </c>
      <c r="R71" s="60"/>
      <c r="T71" s="51">
        <v>0</v>
      </c>
      <c r="U71" s="61"/>
      <c r="V71" s="61"/>
      <c r="AA71" s="52"/>
      <c r="AB71" s="41" t="s">
        <v>296</v>
      </c>
    </row>
    <row r="72" spans="1:28" s="54" customFormat="1" x14ac:dyDescent="0.2">
      <c r="A72" s="52">
        <v>9</v>
      </c>
      <c r="B72" s="52" t="s">
        <v>70</v>
      </c>
      <c r="C72" s="53">
        <v>36760</v>
      </c>
      <c r="D72" s="54" t="s">
        <v>49</v>
      </c>
      <c r="E72" s="54" t="s">
        <v>14</v>
      </c>
      <c r="F72" s="54" t="s">
        <v>15</v>
      </c>
      <c r="G72" s="54" t="s">
        <v>33</v>
      </c>
      <c r="H72" s="55">
        <v>0</v>
      </c>
      <c r="I72" s="56">
        <f t="shared" si="22"/>
        <v>0</v>
      </c>
      <c r="J72" s="66">
        <v>36831</v>
      </c>
      <c r="K72" s="50">
        <v>10000</v>
      </c>
      <c r="L72" s="57" t="s">
        <v>25</v>
      </c>
      <c r="M72" s="55" t="s">
        <v>47</v>
      </c>
      <c r="N72" s="58"/>
      <c r="O72" s="51">
        <f t="shared" si="23"/>
        <v>50</v>
      </c>
      <c r="Q72" s="59">
        <v>4.3099999999999996</v>
      </c>
      <c r="R72" s="60"/>
      <c r="T72" s="51">
        <v>0</v>
      </c>
      <c r="U72" s="61"/>
      <c r="V72" s="61"/>
      <c r="AA72" s="52"/>
      <c r="AB72" s="41" t="s">
        <v>296</v>
      </c>
    </row>
    <row r="73" spans="1:28" s="54" customFormat="1" x14ac:dyDescent="0.2">
      <c r="A73" s="52">
        <v>9</v>
      </c>
      <c r="B73" s="52" t="s">
        <v>70</v>
      </c>
      <c r="C73" s="53">
        <v>36760</v>
      </c>
      <c r="D73" s="54" t="s">
        <v>49</v>
      </c>
      <c r="E73" s="54" t="s">
        <v>14</v>
      </c>
      <c r="F73" s="54" t="s">
        <v>15</v>
      </c>
      <c r="G73" s="54" t="s">
        <v>33</v>
      </c>
      <c r="H73" s="55">
        <v>0</v>
      </c>
      <c r="I73" s="56">
        <f t="shared" si="22"/>
        <v>0</v>
      </c>
      <c r="J73" s="66">
        <v>36861</v>
      </c>
      <c r="K73" s="50">
        <v>10000</v>
      </c>
      <c r="L73" s="57" t="s">
        <v>25</v>
      </c>
      <c r="M73" s="55" t="s">
        <v>47</v>
      </c>
      <c r="N73" s="58"/>
      <c r="O73" s="51">
        <f t="shared" si="23"/>
        <v>50</v>
      </c>
      <c r="Q73" s="59">
        <v>5.7750000000000004</v>
      </c>
      <c r="R73" s="60"/>
      <c r="T73" s="51">
        <v>0</v>
      </c>
      <c r="U73" s="61"/>
      <c r="V73" s="61"/>
      <c r="AA73" s="52"/>
      <c r="AB73" s="41" t="s">
        <v>296</v>
      </c>
    </row>
    <row r="74" spans="1:28" s="54" customFormat="1" x14ac:dyDescent="0.2">
      <c r="A74" s="52">
        <v>9</v>
      </c>
      <c r="B74" s="52" t="s">
        <v>70</v>
      </c>
      <c r="C74" s="53">
        <v>36760</v>
      </c>
      <c r="D74" s="54" t="s">
        <v>49</v>
      </c>
      <c r="E74" s="54" t="s">
        <v>14</v>
      </c>
      <c r="F74" s="54" t="s">
        <v>15</v>
      </c>
      <c r="G74" s="54" t="s">
        <v>33</v>
      </c>
      <c r="H74" s="55">
        <v>0</v>
      </c>
      <c r="I74" s="56">
        <f t="shared" si="22"/>
        <v>0</v>
      </c>
      <c r="J74" s="66">
        <v>36892</v>
      </c>
      <c r="K74" s="50">
        <v>10000</v>
      </c>
      <c r="L74" s="57" t="s">
        <v>25</v>
      </c>
      <c r="M74" s="55" t="s">
        <v>47</v>
      </c>
      <c r="N74" s="58"/>
      <c r="O74" s="51">
        <f t="shared" si="23"/>
        <v>50</v>
      </c>
      <c r="Q74" s="100">
        <v>9.5649999999999995</v>
      </c>
      <c r="R74" s="60"/>
      <c r="T74" s="62">
        <f>(9-Q74)*K74</f>
        <v>-5649.9999999999955</v>
      </c>
      <c r="U74" s="61"/>
      <c r="V74" s="61"/>
      <c r="AA74" s="52"/>
      <c r="AB74" s="41" t="s">
        <v>296</v>
      </c>
    </row>
    <row r="75" spans="1:28" s="54" customFormat="1" x14ac:dyDescent="0.2">
      <c r="A75" s="52">
        <v>9</v>
      </c>
      <c r="B75" s="52" t="s">
        <v>70</v>
      </c>
      <c r="C75" s="53">
        <v>36760</v>
      </c>
      <c r="D75" s="54" t="s">
        <v>49</v>
      </c>
      <c r="E75" s="54" t="s">
        <v>14</v>
      </c>
      <c r="F75" s="54" t="s">
        <v>15</v>
      </c>
      <c r="G75" s="54" t="s">
        <v>33</v>
      </c>
      <c r="H75" s="55">
        <v>0</v>
      </c>
      <c r="I75" s="56">
        <f t="shared" si="22"/>
        <v>0</v>
      </c>
      <c r="J75" s="66">
        <v>36923</v>
      </c>
      <c r="K75" s="50">
        <v>10000</v>
      </c>
      <c r="L75" s="57" t="s">
        <v>25</v>
      </c>
      <c r="M75" s="55" t="s">
        <v>47</v>
      </c>
      <c r="N75" s="58"/>
      <c r="O75" s="51">
        <f t="shared" si="23"/>
        <v>50</v>
      </c>
      <c r="Q75" s="59"/>
      <c r="R75" s="60"/>
      <c r="T75" s="51"/>
      <c r="U75" s="61"/>
      <c r="V75" s="61"/>
      <c r="AA75" s="52"/>
      <c r="AB75" s="41" t="s">
        <v>296</v>
      </c>
    </row>
    <row r="76" spans="1:28" s="54" customFormat="1" x14ac:dyDescent="0.2">
      <c r="A76" s="52"/>
      <c r="B76" s="52"/>
      <c r="C76" s="53"/>
      <c r="H76" s="55"/>
      <c r="I76" s="56"/>
      <c r="J76" s="67"/>
      <c r="K76" s="50"/>
      <c r="L76" s="57"/>
      <c r="M76" s="55"/>
      <c r="N76" s="58"/>
      <c r="O76" s="51"/>
      <c r="Q76" s="59"/>
      <c r="R76" s="60"/>
      <c r="T76" s="51"/>
      <c r="U76" s="61"/>
      <c r="V76" s="61"/>
      <c r="AA76" s="52"/>
    </row>
    <row r="77" spans="1:28" s="54" customFormat="1" x14ac:dyDescent="0.2">
      <c r="A77" s="52">
        <v>10</v>
      </c>
      <c r="B77" s="52" t="s">
        <v>106</v>
      </c>
      <c r="C77" s="53">
        <v>36761</v>
      </c>
      <c r="D77" s="54" t="s">
        <v>50</v>
      </c>
      <c r="E77" s="54" t="s">
        <v>14</v>
      </c>
      <c r="F77" s="54" t="s">
        <v>15</v>
      </c>
      <c r="G77" s="54" t="s">
        <v>33</v>
      </c>
      <c r="H77" s="55">
        <v>0</v>
      </c>
      <c r="I77" s="56">
        <f t="shared" ref="I77:I82" si="24">+H77*K77</f>
        <v>0</v>
      </c>
      <c r="J77" s="66">
        <v>36770</v>
      </c>
      <c r="K77" s="50">
        <v>6000</v>
      </c>
      <c r="L77" s="57" t="s">
        <v>25</v>
      </c>
      <c r="M77" s="55" t="s">
        <v>51</v>
      </c>
      <c r="N77" s="58"/>
      <c r="O77" s="51">
        <f t="shared" ref="O77:O82" si="25">0.005*K77</f>
        <v>30</v>
      </c>
      <c r="Q77" s="59">
        <v>4.45</v>
      </c>
      <c r="R77" s="60"/>
      <c r="T77" s="51">
        <v>0</v>
      </c>
      <c r="U77" s="61"/>
      <c r="V77" s="61"/>
      <c r="Y77" s="54" t="s">
        <v>56</v>
      </c>
      <c r="AA77" s="52"/>
      <c r="AB77" s="41" t="s">
        <v>297</v>
      </c>
    </row>
    <row r="78" spans="1:28" s="54" customFormat="1" x14ac:dyDescent="0.2">
      <c r="A78" s="52">
        <v>10</v>
      </c>
      <c r="B78" s="52" t="s">
        <v>106</v>
      </c>
      <c r="C78" s="53">
        <v>36761</v>
      </c>
      <c r="D78" s="54" t="s">
        <v>50</v>
      </c>
      <c r="E78" s="54" t="s">
        <v>14</v>
      </c>
      <c r="F78" s="54" t="s">
        <v>15</v>
      </c>
      <c r="G78" s="54" t="s">
        <v>33</v>
      </c>
      <c r="H78" s="55">
        <v>0</v>
      </c>
      <c r="I78" s="56">
        <f t="shared" si="24"/>
        <v>0</v>
      </c>
      <c r="J78" s="66">
        <v>36800</v>
      </c>
      <c r="K78" s="50">
        <v>6000</v>
      </c>
      <c r="L78" s="57" t="s">
        <v>25</v>
      </c>
      <c r="M78" s="55" t="s">
        <v>51</v>
      </c>
      <c r="N78" s="58"/>
      <c r="O78" s="51">
        <f t="shared" si="25"/>
        <v>30</v>
      </c>
      <c r="Q78" s="59">
        <v>5.1050000000000004</v>
      </c>
      <c r="R78" s="60"/>
      <c r="T78" s="51">
        <v>0</v>
      </c>
      <c r="U78" s="61"/>
      <c r="V78" s="61"/>
      <c r="AA78" s="52"/>
      <c r="AB78" s="41" t="s">
        <v>297</v>
      </c>
    </row>
    <row r="79" spans="1:28" s="54" customFormat="1" x14ac:dyDescent="0.2">
      <c r="A79" s="52">
        <v>10</v>
      </c>
      <c r="B79" s="52" t="s">
        <v>106</v>
      </c>
      <c r="C79" s="53">
        <v>36761</v>
      </c>
      <c r="D79" s="54" t="s">
        <v>50</v>
      </c>
      <c r="E79" s="54" t="s">
        <v>14</v>
      </c>
      <c r="F79" s="54" t="s">
        <v>15</v>
      </c>
      <c r="G79" s="54" t="s">
        <v>33</v>
      </c>
      <c r="H79" s="55">
        <v>0</v>
      </c>
      <c r="I79" s="56">
        <f t="shared" si="24"/>
        <v>0</v>
      </c>
      <c r="J79" s="66">
        <v>36831</v>
      </c>
      <c r="K79" s="50">
        <v>6000</v>
      </c>
      <c r="L79" s="57" t="s">
        <v>25</v>
      </c>
      <c r="M79" s="55" t="s">
        <v>51</v>
      </c>
      <c r="N79" s="58"/>
      <c r="O79" s="51">
        <f t="shared" si="25"/>
        <v>30</v>
      </c>
      <c r="Q79" s="59">
        <v>4.3099999999999996</v>
      </c>
      <c r="R79" s="60"/>
      <c r="T79" s="51">
        <v>0</v>
      </c>
      <c r="U79" s="61"/>
      <c r="V79" s="61"/>
      <c r="AA79" s="52"/>
      <c r="AB79" s="41" t="s">
        <v>297</v>
      </c>
    </row>
    <row r="80" spans="1:28" s="54" customFormat="1" x14ac:dyDescent="0.2">
      <c r="A80" s="52">
        <v>10</v>
      </c>
      <c r="B80" s="52" t="s">
        <v>106</v>
      </c>
      <c r="C80" s="53">
        <v>36761</v>
      </c>
      <c r="D80" s="54" t="s">
        <v>50</v>
      </c>
      <c r="E80" s="54" t="s">
        <v>14</v>
      </c>
      <c r="F80" s="54" t="s">
        <v>15</v>
      </c>
      <c r="G80" s="54" t="s">
        <v>33</v>
      </c>
      <c r="H80" s="55">
        <v>0</v>
      </c>
      <c r="I80" s="56">
        <f t="shared" si="24"/>
        <v>0</v>
      </c>
      <c r="J80" s="66">
        <v>36861</v>
      </c>
      <c r="K80" s="50">
        <v>6000</v>
      </c>
      <c r="L80" s="57" t="s">
        <v>25</v>
      </c>
      <c r="M80" s="55" t="s">
        <v>51</v>
      </c>
      <c r="N80" s="58"/>
      <c r="O80" s="51">
        <f t="shared" si="25"/>
        <v>30</v>
      </c>
      <c r="Q80" s="59">
        <v>5.7750000000000004</v>
      </c>
      <c r="R80" s="60"/>
      <c r="T80" s="51">
        <v>0</v>
      </c>
      <c r="U80" s="61"/>
      <c r="V80" s="61"/>
      <c r="AA80" s="52"/>
      <c r="AB80" s="41" t="s">
        <v>297</v>
      </c>
    </row>
    <row r="81" spans="1:28" s="54" customFormat="1" x14ac:dyDescent="0.2">
      <c r="A81" s="52">
        <v>10</v>
      </c>
      <c r="B81" s="52" t="s">
        <v>106</v>
      </c>
      <c r="C81" s="53">
        <v>36761</v>
      </c>
      <c r="D81" s="54" t="s">
        <v>50</v>
      </c>
      <c r="E81" s="54" t="s">
        <v>14</v>
      </c>
      <c r="F81" s="54" t="s">
        <v>15</v>
      </c>
      <c r="G81" s="54" t="s">
        <v>33</v>
      </c>
      <c r="H81" s="55">
        <v>0</v>
      </c>
      <c r="I81" s="56">
        <f t="shared" si="24"/>
        <v>0</v>
      </c>
      <c r="J81" s="66">
        <v>36892</v>
      </c>
      <c r="K81" s="50">
        <v>6000</v>
      </c>
      <c r="L81" s="57" t="s">
        <v>25</v>
      </c>
      <c r="M81" s="55" t="s">
        <v>51</v>
      </c>
      <c r="N81" s="58"/>
      <c r="O81" s="51">
        <f t="shared" si="25"/>
        <v>30</v>
      </c>
      <c r="Q81" s="100">
        <v>9.5649999999999995</v>
      </c>
      <c r="R81" s="60"/>
      <c r="T81" s="62">
        <f>(9.5-Q81)*K81</f>
        <v>-389.99999999999704</v>
      </c>
      <c r="U81" s="61"/>
      <c r="V81" s="61"/>
      <c r="AA81" s="52"/>
      <c r="AB81" s="41" t="s">
        <v>297</v>
      </c>
    </row>
    <row r="82" spans="1:28" s="54" customFormat="1" x14ac:dyDescent="0.2">
      <c r="A82" s="52">
        <v>10</v>
      </c>
      <c r="B82" s="52" t="s">
        <v>106</v>
      </c>
      <c r="C82" s="53">
        <v>36761</v>
      </c>
      <c r="D82" s="54" t="s">
        <v>50</v>
      </c>
      <c r="E82" s="54" t="s">
        <v>14</v>
      </c>
      <c r="F82" s="54" t="s">
        <v>15</v>
      </c>
      <c r="G82" s="54" t="s">
        <v>33</v>
      </c>
      <c r="H82" s="55">
        <v>0</v>
      </c>
      <c r="I82" s="56">
        <f t="shared" si="24"/>
        <v>0</v>
      </c>
      <c r="J82" s="66">
        <v>36923</v>
      </c>
      <c r="K82" s="50">
        <v>6000</v>
      </c>
      <c r="L82" s="57" t="s">
        <v>25</v>
      </c>
      <c r="M82" s="55" t="s">
        <v>51</v>
      </c>
      <c r="N82" s="58"/>
      <c r="O82" s="51">
        <f t="shared" si="25"/>
        <v>30</v>
      </c>
      <c r="Q82" s="59"/>
      <c r="R82" s="60"/>
      <c r="T82" s="51"/>
      <c r="U82" s="61"/>
      <c r="V82" s="61"/>
      <c r="AA82" s="52"/>
      <c r="AB82" s="41" t="s">
        <v>297</v>
      </c>
    </row>
    <row r="83" spans="1:28" s="54" customFormat="1" x14ac:dyDescent="0.2">
      <c r="A83" s="52"/>
      <c r="B83" s="52"/>
      <c r="C83" s="53"/>
      <c r="H83" s="55"/>
      <c r="I83" s="56"/>
      <c r="J83" s="67"/>
      <c r="K83" s="50"/>
      <c r="L83" s="57"/>
      <c r="M83" s="55"/>
      <c r="N83" s="58"/>
      <c r="O83" s="51"/>
      <c r="Q83" s="59"/>
      <c r="R83" s="60"/>
      <c r="T83" s="51"/>
      <c r="U83" s="61"/>
      <c r="V83" s="61"/>
      <c r="AA83" s="52"/>
      <c r="AB83" s="41"/>
    </row>
    <row r="84" spans="1:28" s="54" customFormat="1" x14ac:dyDescent="0.2">
      <c r="A84" s="52">
        <v>11</v>
      </c>
      <c r="B84" s="52" t="s">
        <v>107</v>
      </c>
      <c r="C84" s="53">
        <v>36761</v>
      </c>
      <c r="D84" s="54" t="s">
        <v>52</v>
      </c>
      <c r="E84" s="54" t="s">
        <v>14</v>
      </c>
      <c r="F84" s="54" t="s">
        <v>15</v>
      </c>
      <c r="G84" s="54" t="s">
        <v>33</v>
      </c>
      <c r="H84" s="55">
        <v>0</v>
      </c>
      <c r="I84" s="56">
        <f t="shared" ref="I84:I89" si="26">+H84*K84</f>
        <v>0</v>
      </c>
      <c r="J84" s="66">
        <v>36770</v>
      </c>
      <c r="K84" s="50">
        <v>800</v>
      </c>
      <c r="L84" s="57" t="s">
        <v>25</v>
      </c>
      <c r="M84" s="55" t="s">
        <v>51</v>
      </c>
      <c r="N84" s="58"/>
      <c r="O84" s="51">
        <f t="shared" ref="O84:O89" si="27">0.005*K84</f>
        <v>4</v>
      </c>
      <c r="Q84" s="59">
        <v>4.45</v>
      </c>
      <c r="R84" s="60"/>
      <c r="T84" s="51">
        <v>0</v>
      </c>
      <c r="U84" s="61"/>
      <c r="V84" s="61"/>
      <c r="Y84" s="54" t="s">
        <v>56</v>
      </c>
      <c r="AA84" s="52"/>
      <c r="AB84" s="41" t="s">
        <v>297</v>
      </c>
    </row>
    <row r="85" spans="1:28" s="54" customFormat="1" x14ac:dyDescent="0.2">
      <c r="A85" s="52">
        <v>11</v>
      </c>
      <c r="B85" s="52" t="s">
        <v>107</v>
      </c>
      <c r="C85" s="53">
        <v>36761</v>
      </c>
      <c r="D85" s="54" t="s">
        <v>52</v>
      </c>
      <c r="E85" s="54" t="s">
        <v>14</v>
      </c>
      <c r="F85" s="54" t="s">
        <v>15</v>
      </c>
      <c r="G85" s="54" t="s">
        <v>33</v>
      </c>
      <c r="H85" s="55">
        <v>0</v>
      </c>
      <c r="I85" s="56">
        <f t="shared" si="26"/>
        <v>0</v>
      </c>
      <c r="J85" s="66">
        <v>36800</v>
      </c>
      <c r="K85" s="50">
        <v>800</v>
      </c>
      <c r="L85" s="57" t="s">
        <v>25</v>
      </c>
      <c r="M85" s="55" t="s">
        <v>51</v>
      </c>
      <c r="N85" s="58"/>
      <c r="O85" s="51">
        <f t="shared" si="27"/>
        <v>4</v>
      </c>
      <c r="Q85" s="59">
        <v>5.1050000000000004</v>
      </c>
      <c r="R85" s="60"/>
      <c r="T85" s="51">
        <v>0</v>
      </c>
      <c r="U85" s="61"/>
      <c r="V85" s="61"/>
      <c r="AA85" s="52"/>
      <c r="AB85" s="41" t="s">
        <v>297</v>
      </c>
    </row>
    <row r="86" spans="1:28" s="54" customFormat="1" x14ac:dyDescent="0.2">
      <c r="A86" s="52">
        <v>11</v>
      </c>
      <c r="B86" s="52" t="s">
        <v>107</v>
      </c>
      <c r="C86" s="53">
        <v>36761</v>
      </c>
      <c r="D86" s="54" t="s">
        <v>52</v>
      </c>
      <c r="E86" s="54" t="s">
        <v>14</v>
      </c>
      <c r="F86" s="54" t="s">
        <v>15</v>
      </c>
      <c r="G86" s="54" t="s">
        <v>33</v>
      </c>
      <c r="H86" s="55">
        <v>0</v>
      </c>
      <c r="I86" s="56">
        <f t="shared" si="26"/>
        <v>0</v>
      </c>
      <c r="J86" s="66">
        <v>36831</v>
      </c>
      <c r="K86" s="50">
        <v>800</v>
      </c>
      <c r="L86" s="57" t="s">
        <v>25</v>
      </c>
      <c r="M86" s="55" t="s">
        <v>51</v>
      </c>
      <c r="N86" s="58"/>
      <c r="O86" s="51">
        <f t="shared" si="27"/>
        <v>4</v>
      </c>
      <c r="Q86" s="59">
        <v>4.3099999999999996</v>
      </c>
      <c r="R86" s="60"/>
      <c r="T86" s="51">
        <v>0</v>
      </c>
      <c r="U86" s="61"/>
      <c r="V86" s="61"/>
      <c r="AA86" s="52"/>
      <c r="AB86" s="41" t="s">
        <v>297</v>
      </c>
    </row>
    <row r="87" spans="1:28" s="54" customFormat="1" x14ac:dyDescent="0.2">
      <c r="A87" s="52">
        <v>11</v>
      </c>
      <c r="B87" s="52" t="s">
        <v>107</v>
      </c>
      <c r="C87" s="53">
        <v>36761</v>
      </c>
      <c r="D87" s="54" t="s">
        <v>52</v>
      </c>
      <c r="E87" s="54" t="s">
        <v>14</v>
      </c>
      <c r="F87" s="54" t="s">
        <v>15</v>
      </c>
      <c r="G87" s="54" t="s">
        <v>33</v>
      </c>
      <c r="H87" s="55">
        <v>0</v>
      </c>
      <c r="I87" s="56">
        <f t="shared" si="26"/>
        <v>0</v>
      </c>
      <c r="J87" s="66">
        <v>36861</v>
      </c>
      <c r="K87" s="50">
        <v>800</v>
      </c>
      <c r="L87" s="57" t="s">
        <v>25</v>
      </c>
      <c r="M87" s="55" t="s">
        <v>51</v>
      </c>
      <c r="N87" s="58"/>
      <c r="O87" s="51">
        <f t="shared" si="27"/>
        <v>4</v>
      </c>
      <c r="Q87" s="59">
        <v>5.7750000000000004</v>
      </c>
      <c r="R87" s="60"/>
      <c r="T87" s="51">
        <v>0</v>
      </c>
      <c r="U87" s="61"/>
      <c r="V87" s="61"/>
      <c r="AA87" s="52"/>
      <c r="AB87" s="41" t="s">
        <v>297</v>
      </c>
    </row>
    <row r="88" spans="1:28" s="54" customFormat="1" x14ac:dyDescent="0.2">
      <c r="A88" s="52">
        <v>11</v>
      </c>
      <c r="B88" s="52" t="s">
        <v>107</v>
      </c>
      <c r="C88" s="53">
        <v>36761</v>
      </c>
      <c r="D88" s="54" t="s">
        <v>52</v>
      </c>
      <c r="E88" s="54" t="s">
        <v>14</v>
      </c>
      <c r="F88" s="54" t="s">
        <v>15</v>
      </c>
      <c r="G88" s="54" t="s">
        <v>33</v>
      </c>
      <c r="H88" s="55">
        <v>0</v>
      </c>
      <c r="I88" s="56">
        <f t="shared" si="26"/>
        <v>0</v>
      </c>
      <c r="J88" s="66">
        <v>36892</v>
      </c>
      <c r="K88" s="50">
        <v>800</v>
      </c>
      <c r="L88" s="57" t="s">
        <v>25</v>
      </c>
      <c r="M88" s="55" t="s">
        <v>51</v>
      </c>
      <c r="N88" s="58"/>
      <c r="O88" s="51">
        <f t="shared" si="27"/>
        <v>4</v>
      </c>
      <c r="Q88" s="100">
        <v>9.5649999999999995</v>
      </c>
      <c r="R88" s="60"/>
      <c r="T88" s="62">
        <f>(9.5-Q88)*K88</f>
        <v>-51.999999999999602</v>
      </c>
      <c r="U88" s="61"/>
      <c r="V88" s="61"/>
      <c r="AA88" s="52"/>
      <c r="AB88" s="41" t="s">
        <v>297</v>
      </c>
    </row>
    <row r="89" spans="1:28" s="54" customFormat="1" x14ac:dyDescent="0.2">
      <c r="A89" s="52">
        <v>11</v>
      </c>
      <c r="B89" s="52" t="s">
        <v>107</v>
      </c>
      <c r="C89" s="53">
        <v>36761</v>
      </c>
      <c r="D89" s="54" t="s">
        <v>52</v>
      </c>
      <c r="E89" s="54" t="s">
        <v>14</v>
      </c>
      <c r="F89" s="54" t="s">
        <v>15</v>
      </c>
      <c r="G89" s="54" t="s">
        <v>33</v>
      </c>
      <c r="H89" s="55">
        <v>0</v>
      </c>
      <c r="I89" s="56">
        <f t="shared" si="26"/>
        <v>0</v>
      </c>
      <c r="J89" s="66">
        <v>36923</v>
      </c>
      <c r="K89" s="50">
        <v>800</v>
      </c>
      <c r="L89" s="57" t="s">
        <v>25</v>
      </c>
      <c r="M89" s="55" t="s">
        <v>51</v>
      </c>
      <c r="N89" s="58"/>
      <c r="O89" s="51">
        <f t="shared" si="27"/>
        <v>4</v>
      </c>
      <c r="Q89" s="59"/>
      <c r="R89" s="60"/>
      <c r="T89" s="51"/>
      <c r="U89" s="61"/>
      <c r="V89" s="61"/>
      <c r="AA89" s="52"/>
      <c r="AB89" s="41" t="s">
        <v>297</v>
      </c>
    </row>
    <row r="90" spans="1:28" s="54" customFormat="1" x14ac:dyDescent="0.2">
      <c r="A90" s="52"/>
      <c r="B90" s="52"/>
      <c r="C90" s="53"/>
      <c r="H90" s="55"/>
      <c r="I90" s="56"/>
      <c r="J90" s="67"/>
      <c r="K90" s="50"/>
      <c r="L90" s="57"/>
      <c r="M90" s="55"/>
      <c r="N90" s="58"/>
      <c r="O90" s="51"/>
      <c r="Q90" s="59"/>
      <c r="R90" s="60"/>
      <c r="T90" s="51"/>
      <c r="U90" s="61"/>
      <c r="V90" s="61"/>
      <c r="AA90" s="52"/>
      <c r="AB90" s="41"/>
    </row>
    <row r="91" spans="1:28" s="54" customFormat="1" x14ac:dyDescent="0.2">
      <c r="A91" s="52">
        <v>12</v>
      </c>
      <c r="B91" s="52" t="s">
        <v>108</v>
      </c>
      <c r="C91" s="53">
        <v>36761</v>
      </c>
      <c r="D91" s="54" t="s">
        <v>53</v>
      </c>
      <c r="E91" s="54" t="s">
        <v>14</v>
      </c>
      <c r="F91" s="54" t="s">
        <v>15</v>
      </c>
      <c r="G91" s="54" t="s">
        <v>33</v>
      </c>
      <c r="H91" s="55">
        <v>0</v>
      </c>
      <c r="I91" s="56">
        <f t="shared" ref="I91:I96" si="28">+H91*K91</f>
        <v>0</v>
      </c>
      <c r="J91" s="66">
        <v>36770</v>
      </c>
      <c r="K91" s="50">
        <v>600</v>
      </c>
      <c r="L91" s="57" t="s">
        <v>25</v>
      </c>
      <c r="M91" s="55" t="s">
        <v>51</v>
      </c>
      <c r="N91" s="58"/>
      <c r="O91" s="51">
        <f t="shared" ref="O91:O96" si="29">0.005*K91</f>
        <v>3</v>
      </c>
      <c r="Q91" s="59">
        <v>4.45</v>
      </c>
      <c r="R91" s="60"/>
      <c r="T91" s="51">
        <v>0</v>
      </c>
      <c r="U91" s="61"/>
      <c r="V91" s="61"/>
      <c r="Y91" s="54" t="s">
        <v>56</v>
      </c>
      <c r="AA91" s="52"/>
      <c r="AB91" s="41" t="s">
        <v>297</v>
      </c>
    </row>
    <row r="92" spans="1:28" s="54" customFormat="1" x14ac:dyDescent="0.2">
      <c r="A92" s="52">
        <v>0</v>
      </c>
      <c r="B92" s="52" t="s">
        <v>108</v>
      </c>
      <c r="C92" s="53">
        <v>36761</v>
      </c>
      <c r="D92" s="54" t="s">
        <v>53</v>
      </c>
      <c r="E92" s="54" t="s">
        <v>14</v>
      </c>
      <c r="F92" s="54" t="s">
        <v>15</v>
      </c>
      <c r="G92" s="54" t="s">
        <v>33</v>
      </c>
      <c r="H92" s="55">
        <v>0</v>
      </c>
      <c r="I92" s="56">
        <f t="shared" si="28"/>
        <v>0</v>
      </c>
      <c r="J92" s="66">
        <v>36800</v>
      </c>
      <c r="K92" s="50">
        <v>600</v>
      </c>
      <c r="L92" s="57" t="s">
        <v>25</v>
      </c>
      <c r="M92" s="55" t="s">
        <v>51</v>
      </c>
      <c r="N92" s="58"/>
      <c r="O92" s="51">
        <f t="shared" si="29"/>
        <v>3</v>
      </c>
      <c r="Q92" s="59">
        <v>5.1050000000000004</v>
      </c>
      <c r="R92" s="60"/>
      <c r="T92" s="51">
        <v>0</v>
      </c>
      <c r="U92" s="61"/>
      <c r="V92" s="61"/>
      <c r="AA92" s="52"/>
      <c r="AB92" s="41" t="s">
        <v>297</v>
      </c>
    </row>
    <row r="93" spans="1:28" s="54" customFormat="1" x14ac:dyDescent="0.2">
      <c r="A93" s="52">
        <v>12</v>
      </c>
      <c r="B93" s="52" t="s">
        <v>108</v>
      </c>
      <c r="C93" s="53">
        <v>36761</v>
      </c>
      <c r="D93" s="54" t="s">
        <v>53</v>
      </c>
      <c r="E93" s="54" t="s">
        <v>14</v>
      </c>
      <c r="F93" s="54" t="s">
        <v>15</v>
      </c>
      <c r="G93" s="54" t="s">
        <v>33</v>
      </c>
      <c r="H93" s="55">
        <v>0</v>
      </c>
      <c r="I93" s="56">
        <f t="shared" si="28"/>
        <v>0</v>
      </c>
      <c r="J93" s="66">
        <v>36831</v>
      </c>
      <c r="K93" s="50">
        <v>600</v>
      </c>
      <c r="L93" s="57" t="s">
        <v>25</v>
      </c>
      <c r="M93" s="55" t="s">
        <v>51</v>
      </c>
      <c r="N93" s="58"/>
      <c r="O93" s="51">
        <f t="shared" si="29"/>
        <v>3</v>
      </c>
      <c r="Q93" s="59">
        <v>4.3099999999999996</v>
      </c>
      <c r="R93" s="60"/>
      <c r="T93" s="51">
        <v>0</v>
      </c>
      <c r="U93" s="61"/>
      <c r="V93" s="61"/>
      <c r="AA93" s="52"/>
      <c r="AB93" s="41" t="s">
        <v>297</v>
      </c>
    </row>
    <row r="94" spans="1:28" s="54" customFormat="1" x14ac:dyDescent="0.2">
      <c r="A94" s="52">
        <v>12</v>
      </c>
      <c r="B94" s="52" t="s">
        <v>108</v>
      </c>
      <c r="C94" s="53">
        <v>36761</v>
      </c>
      <c r="D94" s="54" t="s">
        <v>53</v>
      </c>
      <c r="E94" s="54" t="s">
        <v>14</v>
      </c>
      <c r="F94" s="54" t="s">
        <v>15</v>
      </c>
      <c r="G94" s="54" t="s">
        <v>33</v>
      </c>
      <c r="H94" s="55">
        <v>0</v>
      </c>
      <c r="I94" s="56">
        <f t="shared" si="28"/>
        <v>0</v>
      </c>
      <c r="J94" s="66">
        <v>36861</v>
      </c>
      <c r="K94" s="50">
        <v>600</v>
      </c>
      <c r="L94" s="57" t="s">
        <v>25</v>
      </c>
      <c r="M94" s="55" t="s">
        <v>51</v>
      </c>
      <c r="N94" s="58"/>
      <c r="O94" s="51">
        <f t="shared" si="29"/>
        <v>3</v>
      </c>
      <c r="Q94" s="59">
        <v>5.7750000000000004</v>
      </c>
      <c r="R94" s="60"/>
      <c r="T94" s="51">
        <v>0</v>
      </c>
      <c r="U94" s="61"/>
      <c r="V94" s="61"/>
      <c r="AA94" s="52"/>
      <c r="AB94" s="41" t="s">
        <v>297</v>
      </c>
    </row>
    <row r="95" spans="1:28" s="54" customFormat="1" x14ac:dyDescent="0.2">
      <c r="A95" s="52">
        <v>12</v>
      </c>
      <c r="B95" s="52" t="s">
        <v>108</v>
      </c>
      <c r="C95" s="53">
        <v>36761</v>
      </c>
      <c r="D95" s="54" t="s">
        <v>53</v>
      </c>
      <c r="E95" s="54" t="s">
        <v>14</v>
      </c>
      <c r="F95" s="54" t="s">
        <v>15</v>
      </c>
      <c r="G95" s="54" t="s">
        <v>33</v>
      </c>
      <c r="H95" s="55">
        <v>0</v>
      </c>
      <c r="I95" s="56">
        <f t="shared" si="28"/>
        <v>0</v>
      </c>
      <c r="J95" s="66">
        <v>36892</v>
      </c>
      <c r="K95" s="50">
        <v>600</v>
      </c>
      <c r="L95" s="57" t="s">
        <v>25</v>
      </c>
      <c r="M95" s="55" t="s">
        <v>51</v>
      </c>
      <c r="N95" s="58"/>
      <c r="O95" s="51">
        <f t="shared" si="29"/>
        <v>3</v>
      </c>
      <c r="Q95" s="100">
        <v>9.5649999999999995</v>
      </c>
      <c r="R95" s="60"/>
      <c r="T95" s="62">
        <f>(9.5-Q95)*K95</f>
        <v>-38.999999999999702</v>
      </c>
      <c r="U95" s="61"/>
      <c r="V95" s="61"/>
      <c r="AA95" s="52"/>
      <c r="AB95" s="41" t="s">
        <v>297</v>
      </c>
    </row>
    <row r="96" spans="1:28" s="54" customFormat="1" x14ac:dyDescent="0.2">
      <c r="A96" s="52">
        <v>12</v>
      </c>
      <c r="B96" s="52" t="s">
        <v>108</v>
      </c>
      <c r="C96" s="53">
        <v>36761</v>
      </c>
      <c r="D96" s="54" t="s">
        <v>53</v>
      </c>
      <c r="E96" s="54" t="s">
        <v>14</v>
      </c>
      <c r="F96" s="54" t="s">
        <v>15</v>
      </c>
      <c r="G96" s="54" t="s">
        <v>33</v>
      </c>
      <c r="H96" s="55">
        <v>0</v>
      </c>
      <c r="I96" s="56">
        <f t="shared" si="28"/>
        <v>0</v>
      </c>
      <c r="J96" s="66">
        <v>36923</v>
      </c>
      <c r="K96" s="50">
        <v>600</v>
      </c>
      <c r="L96" s="57" t="s">
        <v>25</v>
      </c>
      <c r="M96" s="55" t="s">
        <v>51</v>
      </c>
      <c r="N96" s="58"/>
      <c r="O96" s="51">
        <f t="shared" si="29"/>
        <v>3</v>
      </c>
      <c r="Q96" s="59"/>
      <c r="R96" s="60"/>
      <c r="T96" s="51"/>
      <c r="U96" s="61"/>
      <c r="V96" s="61"/>
      <c r="AA96" s="52"/>
      <c r="AB96" s="41" t="s">
        <v>297</v>
      </c>
    </row>
    <row r="98" spans="1:28" x14ac:dyDescent="0.2">
      <c r="A98" s="91">
        <v>13</v>
      </c>
      <c r="B98" s="91" t="s">
        <v>67</v>
      </c>
      <c r="C98" s="92">
        <v>36761</v>
      </c>
      <c r="D98" s="41" t="s">
        <v>54</v>
      </c>
      <c r="E98" s="41" t="s">
        <v>14</v>
      </c>
      <c r="F98" s="41" t="s">
        <v>15</v>
      </c>
      <c r="G98" s="41" t="s">
        <v>16</v>
      </c>
      <c r="H98" s="93">
        <v>0</v>
      </c>
      <c r="I98" s="94">
        <f t="shared" ref="I98:I103" si="30">+H98*K98</f>
        <v>0</v>
      </c>
      <c r="J98" s="95">
        <v>36770</v>
      </c>
      <c r="K98" s="96">
        <v>20000</v>
      </c>
      <c r="L98" s="97" t="s">
        <v>25</v>
      </c>
      <c r="M98" s="93">
        <v>4.5599999999999996</v>
      </c>
      <c r="N98" s="99">
        <f t="shared" ref="N98:N103" si="31">K98*M98</f>
        <v>91199.999999999985</v>
      </c>
      <c r="O98" s="62">
        <f t="shared" ref="O98:O103" si="32">0*K98</f>
        <v>0</v>
      </c>
      <c r="Q98" s="100">
        <v>4.45</v>
      </c>
      <c r="T98" s="62">
        <f>(M98-Q98)*K98</f>
        <v>2199.9999999999886</v>
      </c>
      <c r="Y98" s="41" t="s">
        <v>58</v>
      </c>
      <c r="AA98" s="91" t="s">
        <v>202</v>
      </c>
      <c r="AB98" s="41" t="s">
        <v>296</v>
      </c>
    </row>
    <row r="99" spans="1:28" x14ac:dyDescent="0.2">
      <c r="A99" s="91">
        <v>13</v>
      </c>
      <c r="B99" s="91" t="s">
        <v>67</v>
      </c>
      <c r="C99" s="92">
        <v>36761</v>
      </c>
      <c r="D99" s="41" t="s">
        <v>54</v>
      </c>
      <c r="E99" s="41" t="s">
        <v>14</v>
      </c>
      <c r="F99" s="41" t="s">
        <v>15</v>
      </c>
      <c r="G99" s="41" t="s">
        <v>16</v>
      </c>
      <c r="H99" s="93">
        <v>0</v>
      </c>
      <c r="I99" s="94">
        <f t="shared" si="30"/>
        <v>0</v>
      </c>
      <c r="J99" s="95">
        <v>36800</v>
      </c>
      <c r="K99" s="96">
        <v>20000</v>
      </c>
      <c r="L99" s="97" t="s">
        <v>25</v>
      </c>
      <c r="M99" s="93">
        <v>4.5599999999999996</v>
      </c>
      <c r="N99" s="99">
        <f t="shared" si="31"/>
        <v>91199.999999999985</v>
      </c>
      <c r="O99" s="62">
        <f t="shared" si="32"/>
        <v>0</v>
      </c>
      <c r="Q99" s="100">
        <v>5.1050000000000004</v>
      </c>
      <c r="T99" s="62">
        <f>(M99-Q99)*K99</f>
        <v>-10900.000000000016</v>
      </c>
      <c r="AA99" s="91" t="s">
        <v>202</v>
      </c>
      <c r="AB99" s="41" t="s">
        <v>296</v>
      </c>
    </row>
    <row r="100" spans="1:28" x14ac:dyDescent="0.2">
      <c r="A100" s="91">
        <v>13</v>
      </c>
      <c r="B100" s="91" t="s">
        <v>67</v>
      </c>
      <c r="C100" s="92">
        <v>36761</v>
      </c>
      <c r="D100" s="41" t="s">
        <v>54</v>
      </c>
      <c r="E100" s="41" t="s">
        <v>14</v>
      </c>
      <c r="F100" s="41" t="s">
        <v>15</v>
      </c>
      <c r="G100" s="41" t="s">
        <v>16</v>
      </c>
      <c r="H100" s="93">
        <v>0</v>
      </c>
      <c r="I100" s="94">
        <f t="shared" si="30"/>
        <v>0</v>
      </c>
      <c r="J100" s="95">
        <v>36831</v>
      </c>
      <c r="K100" s="96">
        <v>20000</v>
      </c>
      <c r="L100" s="97" t="s">
        <v>25</v>
      </c>
      <c r="M100" s="93">
        <v>4.5599999999999996</v>
      </c>
      <c r="N100" s="99">
        <f t="shared" si="31"/>
        <v>91199.999999999985</v>
      </c>
      <c r="O100" s="62">
        <f t="shared" si="32"/>
        <v>0</v>
      </c>
      <c r="Q100" s="100">
        <v>4.3099999999999996</v>
      </c>
      <c r="T100" s="62">
        <f>(M100-Q100)*K100</f>
        <v>5000</v>
      </c>
      <c r="AA100" s="91" t="s">
        <v>202</v>
      </c>
      <c r="AB100" s="41" t="s">
        <v>296</v>
      </c>
    </row>
    <row r="101" spans="1:28" x14ac:dyDescent="0.2">
      <c r="A101" s="91">
        <v>13</v>
      </c>
      <c r="B101" s="91" t="s">
        <v>67</v>
      </c>
      <c r="C101" s="92">
        <v>36761</v>
      </c>
      <c r="D101" s="41" t="s">
        <v>54</v>
      </c>
      <c r="E101" s="41" t="s">
        <v>14</v>
      </c>
      <c r="F101" s="41" t="s">
        <v>15</v>
      </c>
      <c r="G101" s="41" t="s">
        <v>16</v>
      </c>
      <c r="H101" s="93">
        <v>0</v>
      </c>
      <c r="I101" s="94">
        <f t="shared" si="30"/>
        <v>0</v>
      </c>
      <c r="J101" s="95">
        <v>36861</v>
      </c>
      <c r="K101" s="96">
        <v>20000</v>
      </c>
      <c r="L101" s="97" t="s">
        <v>25</v>
      </c>
      <c r="M101" s="93">
        <v>4.5599999999999996</v>
      </c>
      <c r="N101" s="99">
        <f t="shared" si="31"/>
        <v>91199.999999999985</v>
      </c>
      <c r="O101" s="62">
        <f t="shared" si="32"/>
        <v>0</v>
      </c>
      <c r="Q101" s="100">
        <v>5.7750000000000004</v>
      </c>
      <c r="T101" s="62">
        <f>(M101-Q101)*K101</f>
        <v>-24300.000000000015</v>
      </c>
      <c r="AA101" s="91" t="s">
        <v>202</v>
      </c>
      <c r="AB101" s="41" t="s">
        <v>296</v>
      </c>
    </row>
    <row r="102" spans="1:28" x14ac:dyDescent="0.2">
      <c r="A102" s="91">
        <v>13</v>
      </c>
      <c r="B102" s="91" t="s">
        <v>67</v>
      </c>
      <c r="C102" s="92">
        <v>36761</v>
      </c>
      <c r="D102" s="41" t="s">
        <v>54</v>
      </c>
      <c r="E102" s="41" t="s">
        <v>14</v>
      </c>
      <c r="F102" s="41" t="s">
        <v>15</v>
      </c>
      <c r="G102" s="41" t="s">
        <v>16</v>
      </c>
      <c r="H102" s="93">
        <v>0</v>
      </c>
      <c r="I102" s="94">
        <f t="shared" si="30"/>
        <v>0</v>
      </c>
      <c r="J102" s="95">
        <v>36892</v>
      </c>
      <c r="K102" s="96">
        <v>20000</v>
      </c>
      <c r="L102" s="97" t="s">
        <v>25</v>
      </c>
      <c r="M102" s="93">
        <v>4.5599999999999996</v>
      </c>
      <c r="N102" s="99">
        <f t="shared" si="31"/>
        <v>91199.999999999985</v>
      </c>
      <c r="O102" s="62">
        <f t="shared" si="32"/>
        <v>0</v>
      </c>
      <c r="Q102" s="100">
        <v>9.5649999999999995</v>
      </c>
      <c r="T102" s="62">
        <f>(M102-Q102)*K102</f>
        <v>-100100</v>
      </c>
      <c r="U102" s="62"/>
      <c r="AA102" s="91" t="s">
        <v>202</v>
      </c>
      <c r="AB102" s="41" t="s">
        <v>296</v>
      </c>
    </row>
    <row r="103" spans="1:28" x14ac:dyDescent="0.2">
      <c r="A103" s="91">
        <v>13</v>
      </c>
      <c r="B103" s="91" t="s">
        <v>67</v>
      </c>
      <c r="C103" s="92">
        <v>36761</v>
      </c>
      <c r="D103" s="41" t="s">
        <v>54</v>
      </c>
      <c r="E103" s="41" t="s">
        <v>14</v>
      </c>
      <c r="F103" s="41" t="s">
        <v>15</v>
      </c>
      <c r="G103" s="41" t="s">
        <v>16</v>
      </c>
      <c r="H103" s="93">
        <v>0</v>
      </c>
      <c r="I103" s="94">
        <f t="shared" si="30"/>
        <v>0</v>
      </c>
      <c r="J103" s="95">
        <v>36923</v>
      </c>
      <c r="K103" s="96">
        <v>20000</v>
      </c>
      <c r="L103" s="97" t="s">
        <v>25</v>
      </c>
      <c r="M103" s="93">
        <v>4.5599999999999996</v>
      </c>
      <c r="N103" s="99">
        <f t="shared" si="31"/>
        <v>91199.999999999985</v>
      </c>
      <c r="O103" s="62">
        <f t="shared" si="32"/>
        <v>0</v>
      </c>
      <c r="R103" s="101">
        <v>8.26</v>
      </c>
      <c r="U103" s="62">
        <f>(M103-R103)*K103</f>
        <v>-74000</v>
      </c>
      <c r="AA103" s="91" t="s">
        <v>202</v>
      </c>
      <c r="AB103" s="41" t="s">
        <v>296</v>
      </c>
    </row>
    <row r="105" spans="1:28" s="54" customFormat="1" x14ac:dyDescent="0.2">
      <c r="A105" s="52">
        <v>14</v>
      </c>
      <c r="B105" s="52" t="s">
        <v>64</v>
      </c>
      <c r="C105" s="53">
        <v>36761</v>
      </c>
      <c r="D105" s="54" t="s">
        <v>17</v>
      </c>
      <c r="E105" s="54" t="s">
        <v>14</v>
      </c>
      <c r="F105" s="54" t="s">
        <v>15</v>
      </c>
      <c r="G105" s="54" t="s">
        <v>33</v>
      </c>
      <c r="H105" s="55">
        <v>0</v>
      </c>
      <c r="I105" s="56">
        <f t="shared" ref="I105:I110" si="33">+H105*K105</f>
        <v>0</v>
      </c>
      <c r="J105" s="66">
        <v>36770</v>
      </c>
      <c r="K105" s="50">
        <v>10000</v>
      </c>
      <c r="L105" s="57" t="s">
        <v>25</v>
      </c>
      <c r="M105" s="55" t="s">
        <v>55</v>
      </c>
      <c r="N105" s="58"/>
      <c r="O105" s="51">
        <f t="shared" ref="O105:O110" si="34">0.005*K105</f>
        <v>50</v>
      </c>
      <c r="Q105" s="59">
        <v>4.45</v>
      </c>
      <c r="R105" s="60"/>
      <c r="T105" s="51">
        <v>0</v>
      </c>
      <c r="U105" s="61"/>
      <c r="V105" s="61"/>
      <c r="Y105" s="54" t="s">
        <v>56</v>
      </c>
      <c r="AA105" s="52"/>
      <c r="AB105" s="41" t="s">
        <v>296</v>
      </c>
    </row>
    <row r="106" spans="1:28" s="54" customFormat="1" x14ac:dyDescent="0.2">
      <c r="A106" s="52">
        <v>14</v>
      </c>
      <c r="B106" s="52" t="s">
        <v>64</v>
      </c>
      <c r="C106" s="53">
        <v>36761</v>
      </c>
      <c r="D106" s="54" t="s">
        <v>17</v>
      </c>
      <c r="E106" s="54" t="s">
        <v>14</v>
      </c>
      <c r="F106" s="54" t="s">
        <v>15</v>
      </c>
      <c r="G106" s="54" t="s">
        <v>33</v>
      </c>
      <c r="H106" s="55">
        <v>0</v>
      </c>
      <c r="I106" s="56">
        <f t="shared" si="33"/>
        <v>0</v>
      </c>
      <c r="J106" s="66">
        <v>36800</v>
      </c>
      <c r="K106" s="50">
        <v>10000</v>
      </c>
      <c r="L106" s="57" t="s">
        <v>25</v>
      </c>
      <c r="M106" s="55" t="s">
        <v>55</v>
      </c>
      <c r="N106" s="58"/>
      <c r="O106" s="51">
        <f t="shared" si="34"/>
        <v>50</v>
      </c>
      <c r="Q106" s="59">
        <v>5.1050000000000004</v>
      </c>
      <c r="R106" s="60"/>
      <c r="T106" s="51">
        <v>0</v>
      </c>
      <c r="U106" s="61"/>
      <c r="V106" s="61"/>
      <c r="AA106" s="52"/>
      <c r="AB106" s="41" t="s">
        <v>296</v>
      </c>
    </row>
    <row r="107" spans="1:28" s="54" customFormat="1" x14ac:dyDescent="0.2">
      <c r="A107" s="52">
        <v>14</v>
      </c>
      <c r="B107" s="52" t="s">
        <v>64</v>
      </c>
      <c r="C107" s="53">
        <v>36761</v>
      </c>
      <c r="D107" s="54" t="s">
        <v>17</v>
      </c>
      <c r="E107" s="54" t="s">
        <v>14</v>
      </c>
      <c r="F107" s="54" t="s">
        <v>15</v>
      </c>
      <c r="G107" s="54" t="s">
        <v>33</v>
      </c>
      <c r="H107" s="55">
        <v>0</v>
      </c>
      <c r="I107" s="56">
        <f t="shared" si="33"/>
        <v>0</v>
      </c>
      <c r="J107" s="66">
        <v>36831</v>
      </c>
      <c r="K107" s="50">
        <v>10000</v>
      </c>
      <c r="L107" s="57" t="s">
        <v>25</v>
      </c>
      <c r="M107" s="55" t="s">
        <v>55</v>
      </c>
      <c r="N107" s="58"/>
      <c r="O107" s="51">
        <f t="shared" si="34"/>
        <v>50</v>
      </c>
      <c r="Q107" s="59">
        <v>4.3099999999999996</v>
      </c>
      <c r="R107" s="60"/>
      <c r="T107" s="51">
        <v>0</v>
      </c>
      <c r="U107" s="61"/>
      <c r="V107" s="61"/>
      <c r="AA107" s="52"/>
      <c r="AB107" s="41" t="s">
        <v>296</v>
      </c>
    </row>
    <row r="108" spans="1:28" s="54" customFormat="1" x14ac:dyDescent="0.2">
      <c r="A108" s="52">
        <v>14</v>
      </c>
      <c r="B108" s="52" t="s">
        <v>64</v>
      </c>
      <c r="C108" s="53">
        <v>36761</v>
      </c>
      <c r="D108" s="54" t="s">
        <v>17</v>
      </c>
      <c r="E108" s="54" t="s">
        <v>14</v>
      </c>
      <c r="F108" s="54" t="s">
        <v>15</v>
      </c>
      <c r="G108" s="54" t="s">
        <v>33</v>
      </c>
      <c r="H108" s="55">
        <v>0</v>
      </c>
      <c r="I108" s="56">
        <f t="shared" si="33"/>
        <v>0</v>
      </c>
      <c r="J108" s="66">
        <v>36861</v>
      </c>
      <c r="K108" s="50">
        <v>10000</v>
      </c>
      <c r="L108" s="57" t="s">
        <v>25</v>
      </c>
      <c r="M108" s="55" t="s">
        <v>55</v>
      </c>
      <c r="N108" s="58"/>
      <c r="O108" s="51">
        <f t="shared" si="34"/>
        <v>50</v>
      </c>
      <c r="Q108" s="59">
        <v>5.7750000000000004</v>
      </c>
      <c r="R108" s="60"/>
      <c r="T108" s="51">
        <v>0</v>
      </c>
      <c r="U108" s="61"/>
      <c r="V108" s="61"/>
      <c r="AA108" s="52"/>
      <c r="AB108" s="41" t="s">
        <v>296</v>
      </c>
    </row>
    <row r="109" spans="1:28" s="54" customFormat="1" x14ac:dyDescent="0.2">
      <c r="A109" s="52">
        <v>14</v>
      </c>
      <c r="B109" s="52" t="s">
        <v>64</v>
      </c>
      <c r="C109" s="53">
        <v>36761</v>
      </c>
      <c r="D109" s="54" t="s">
        <v>17</v>
      </c>
      <c r="E109" s="54" t="s">
        <v>14</v>
      </c>
      <c r="F109" s="54" t="s">
        <v>15</v>
      </c>
      <c r="G109" s="54" t="s">
        <v>33</v>
      </c>
      <c r="H109" s="55">
        <v>0</v>
      </c>
      <c r="I109" s="56">
        <f t="shared" si="33"/>
        <v>0</v>
      </c>
      <c r="J109" s="66">
        <v>36892</v>
      </c>
      <c r="K109" s="50">
        <v>10000</v>
      </c>
      <c r="L109" s="57" t="s">
        <v>25</v>
      </c>
      <c r="M109" s="55" t="s">
        <v>55</v>
      </c>
      <c r="N109" s="58"/>
      <c r="O109" s="51">
        <f t="shared" si="34"/>
        <v>50</v>
      </c>
      <c r="Q109" s="100">
        <v>9.5649999999999995</v>
      </c>
      <c r="R109" s="60"/>
      <c r="T109" s="62">
        <f>(9.2-Q109)*K109</f>
        <v>-3650.0000000000023</v>
      </c>
      <c r="U109" s="61"/>
      <c r="V109" s="61"/>
      <c r="AA109" s="52"/>
      <c r="AB109" s="41" t="s">
        <v>296</v>
      </c>
    </row>
    <row r="110" spans="1:28" s="54" customFormat="1" x14ac:dyDescent="0.2">
      <c r="A110" s="52">
        <v>14</v>
      </c>
      <c r="B110" s="52" t="s">
        <v>64</v>
      </c>
      <c r="C110" s="53">
        <v>36761</v>
      </c>
      <c r="D110" s="54" t="s">
        <v>17</v>
      </c>
      <c r="E110" s="54" t="s">
        <v>14</v>
      </c>
      <c r="F110" s="54" t="s">
        <v>15</v>
      </c>
      <c r="G110" s="54" t="s">
        <v>33</v>
      </c>
      <c r="H110" s="55">
        <v>0</v>
      </c>
      <c r="I110" s="56">
        <f t="shared" si="33"/>
        <v>0</v>
      </c>
      <c r="J110" s="66">
        <v>36923</v>
      </c>
      <c r="K110" s="50">
        <v>10000</v>
      </c>
      <c r="L110" s="57" t="s">
        <v>25</v>
      </c>
      <c r="M110" s="55" t="s">
        <v>55</v>
      </c>
      <c r="N110" s="58"/>
      <c r="O110" s="51">
        <f t="shared" si="34"/>
        <v>50</v>
      </c>
      <c r="Q110" s="59"/>
      <c r="R110" s="60"/>
      <c r="T110" s="51"/>
      <c r="U110" s="61"/>
      <c r="V110" s="61"/>
      <c r="AA110" s="52"/>
      <c r="AB110" s="41" t="s">
        <v>296</v>
      </c>
    </row>
    <row r="111" spans="1:28" s="54" customFormat="1" x14ac:dyDescent="0.2">
      <c r="A111" s="52"/>
      <c r="B111" s="52"/>
      <c r="C111" s="53"/>
      <c r="H111" s="55"/>
      <c r="I111" s="56"/>
      <c r="J111" s="67"/>
      <c r="K111" s="50"/>
      <c r="L111" s="57"/>
      <c r="M111" s="55"/>
      <c r="N111" s="58"/>
      <c r="O111" s="51"/>
      <c r="Q111" s="59"/>
      <c r="R111" s="60"/>
      <c r="T111" s="51"/>
      <c r="U111" s="61"/>
      <c r="V111" s="61"/>
      <c r="AA111" s="52"/>
      <c r="AB111" s="41"/>
    </row>
    <row r="112" spans="1:28" s="54" customFormat="1" x14ac:dyDescent="0.2">
      <c r="A112" s="52">
        <v>15</v>
      </c>
      <c r="B112" s="52" t="s">
        <v>65</v>
      </c>
      <c r="C112" s="53">
        <v>36761</v>
      </c>
      <c r="D112" s="54" t="s">
        <v>17</v>
      </c>
      <c r="E112" s="54" t="s">
        <v>14</v>
      </c>
      <c r="F112" s="54" t="s">
        <v>15</v>
      </c>
      <c r="G112" s="54" t="s">
        <v>33</v>
      </c>
      <c r="H112" s="55">
        <v>0</v>
      </c>
      <c r="I112" s="56">
        <f t="shared" ref="I112:I117" si="35">+H112*K112</f>
        <v>0</v>
      </c>
      <c r="J112" s="66">
        <v>36770</v>
      </c>
      <c r="K112" s="50">
        <v>10000</v>
      </c>
      <c r="L112" s="57" t="s">
        <v>25</v>
      </c>
      <c r="M112" s="55" t="s">
        <v>55</v>
      </c>
      <c r="N112" s="58"/>
      <c r="O112" s="51">
        <f t="shared" ref="O112:O117" si="36">0.005*K112</f>
        <v>50</v>
      </c>
      <c r="Q112" s="59">
        <v>4.45</v>
      </c>
      <c r="R112" s="60"/>
      <c r="T112" s="51">
        <v>0</v>
      </c>
      <c r="U112" s="61"/>
      <c r="V112" s="61"/>
      <c r="Y112" s="54" t="s">
        <v>56</v>
      </c>
      <c r="AA112" s="52"/>
      <c r="AB112" s="41" t="s">
        <v>296</v>
      </c>
    </row>
    <row r="113" spans="1:28" s="54" customFormat="1" x14ac:dyDescent="0.2">
      <c r="A113" s="52">
        <v>15</v>
      </c>
      <c r="B113" s="52" t="s">
        <v>65</v>
      </c>
      <c r="C113" s="53">
        <v>36761</v>
      </c>
      <c r="D113" s="54" t="s">
        <v>17</v>
      </c>
      <c r="E113" s="54" t="s">
        <v>14</v>
      </c>
      <c r="F113" s="54" t="s">
        <v>15</v>
      </c>
      <c r="G113" s="54" t="s">
        <v>33</v>
      </c>
      <c r="H113" s="55">
        <v>0</v>
      </c>
      <c r="I113" s="56">
        <f t="shared" si="35"/>
        <v>0</v>
      </c>
      <c r="J113" s="66">
        <v>36800</v>
      </c>
      <c r="K113" s="50">
        <v>10000</v>
      </c>
      <c r="L113" s="57" t="s">
        <v>25</v>
      </c>
      <c r="M113" s="55" t="s">
        <v>55</v>
      </c>
      <c r="N113" s="58"/>
      <c r="O113" s="51">
        <f t="shared" si="36"/>
        <v>50</v>
      </c>
      <c r="Q113" s="59">
        <v>5.1050000000000004</v>
      </c>
      <c r="R113" s="60"/>
      <c r="T113" s="51">
        <v>0</v>
      </c>
      <c r="U113" s="61"/>
      <c r="V113" s="61"/>
      <c r="AA113" s="52"/>
      <c r="AB113" s="41" t="s">
        <v>296</v>
      </c>
    </row>
    <row r="114" spans="1:28" s="54" customFormat="1" x14ac:dyDescent="0.2">
      <c r="A114" s="52">
        <v>15</v>
      </c>
      <c r="B114" s="52" t="s">
        <v>65</v>
      </c>
      <c r="C114" s="53">
        <v>36761</v>
      </c>
      <c r="D114" s="54" t="s">
        <v>17</v>
      </c>
      <c r="E114" s="54" t="s">
        <v>14</v>
      </c>
      <c r="F114" s="54" t="s">
        <v>15</v>
      </c>
      <c r="G114" s="54" t="s">
        <v>33</v>
      </c>
      <c r="H114" s="55">
        <v>0</v>
      </c>
      <c r="I114" s="56">
        <f t="shared" si="35"/>
        <v>0</v>
      </c>
      <c r="J114" s="66">
        <v>36831</v>
      </c>
      <c r="K114" s="50">
        <v>10000</v>
      </c>
      <c r="L114" s="57" t="s">
        <v>25</v>
      </c>
      <c r="M114" s="55" t="s">
        <v>55</v>
      </c>
      <c r="N114" s="58"/>
      <c r="O114" s="51">
        <f t="shared" si="36"/>
        <v>50</v>
      </c>
      <c r="Q114" s="59">
        <v>4.3099999999999996</v>
      </c>
      <c r="R114" s="60"/>
      <c r="T114" s="51">
        <v>0</v>
      </c>
      <c r="U114" s="61"/>
      <c r="V114" s="61"/>
      <c r="AA114" s="52"/>
      <c r="AB114" s="41" t="s">
        <v>296</v>
      </c>
    </row>
    <row r="115" spans="1:28" s="54" customFormat="1" x14ac:dyDescent="0.2">
      <c r="A115" s="52">
        <v>15</v>
      </c>
      <c r="B115" s="52" t="s">
        <v>65</v>
      </c>
      <c r="C115" s="53">
        <v>36761</v>
      </c>
      <c r="D115" s="54" t="s">
        <v>17</v>
      </c>
      <c r="E115" s="54" t="s">
        <v>14</v>
      </c>
      <c r="F115" s="54" t="s">
        <v>15</v>
      </c>
      <c r="G115" s="54" t="s">
        <v>33</v>
      </c>
      <c r="H115" s="55">
        <v>0</v>
      </c>
      <c r="I115" s="56">
        <f t="shared" si="35"/>
        <v>0</v>
      </c>
      <c r="J115" s="66">
        <v>36861</v>
      </c>
      <c r="K115" s="50">
        <v>10000</v>
      </c>
      <c r="L115" s="57" t="s">
        <v>25</v>
      </c>
      <c r="M115" s="55" t="s">
        <v>55</v>
      </c>
      <c r="N115" s="58"/>
      <c r="O115" s="51">
        <f t="shared" si="36"/>
        <v>50</v>
      </c>
      <c r="Q115" s="59">
        <v>5.7750000000000004</v>
      </c>
      <c r="R115" s="60"/>
      <c r="T115" s="51">
        <v>0</v>
      </c>
      <c r="U115" s="61"/>
      <c r="V115" s="61"/>
      <c r="AA115" s="52"/>
      <c r="AB115" s="41" t="s">
        <v>296</v>
      </c>
    </row>
    <row r="116" spans="1:28" s="54" customFormat="1" x14ac:dyDescent="0.2">
      <c r="A116" s="52">
        <v>15</v>
      </c>
      <c r="B116" s="52" t="s">
        <v>65</v>
      </c>
      <c r="C116" s="53">
        <v>36761</v>
      </c>
      <c r="D116" s="54" t="s">
        <v>17</v>
      </c>
      <c r="E116" s="54" t="s">
        <v>14</v>
      </c>
      <c r="F116" s="54" t="s">
        <v>15</v>
      </c>
      <c r="G116" s="54" t="s">
        <v>33</v>
      </c>
      <c r="H116" s="55">
        <v>0</v>
      </c>
      <c r="I116" s="56">
        <f t="shared" si="35"/>
        <v>0</v>
      </c>
      <c r="J116" s="66">
        <v>36892</v>
      </c>
      <c r="K116" s="50">
        <v>10000</v>
      </c>
      <c r="L116" s="57" t="s">
        <v>25</v>
      </c>
      <c r="M116" s="55" t="s">
        <v>55</v>
      </c>
      <c r="N116" s="58"/>
      <c r="O116" s="51">
        <f t="shared" si="36"/>
        <v>50</v>
      </c>
      <c r="Q116" s="100">
        <v>9.5649999999999995</v>
      </c>
      <c r="R116" s="60"/>
      <c r="T116" s="62">
        <f>(9.2-Q116)*K116</f>
        <v>-3650.0000000000023</v>
      </c>
      <c r="U116" s="61"/>
      <c r="V116" s="61"/>
      <c r="AA116" s="52"/>
      <c r="AB116" s="41" t="s">
        <v>296</v>
      </c>
    </row>
    <row r="117" spans="1:28" s="54" customFormat="1" x14ac:dyDescent="0.2">
      <c r="A117" s="52">
        <v>15</v>
      </c>
      <c r="B117" s="52" t="s">
        <v>65</v>
      </c>
      <c r="C117" s="53">
        <v>36761</v>
      </c>
      <c r="D117" s="54" t="s">
        <v>17</v>
      </c>
      <c r="E117" s="54" t="s">
        <v>14</v>
      </c>
      <c r="F117" s="54" t="s">
        <v>15</v>
      </c>
      <c r="G117" s="54" t="s">
        <v>33</v>
      </c>
      <c r="H117" s="55">
        <v>0</v>
      </c>
      <c r="I117" s="56">
        <f t="shared" si="35"/>
        <v>0</v>
      </c>
      <c r="J117" s="66">
        <v>36923</v>
      </c>
      <c r="K117" s="50">
        <v>10000</v>
      </c>
      <c r="L117" s="57" t="s">
        <v>25</v>
      </c>
      <c r="M117" s="55" t="s">
        <v>55</v>
      </c>
      <c r="N117" s="58"/>
      <c r="O117" s="51">
        <f t="shared" si="36"/>
        <v>50</v>
      </c>
      <c r="Q117" s="59"/>
      <c r="R117" s="60"/>
      <c r="T117" s="51"/>
      <c r="U117" s="61"/>
      <c r="V117" s="61"/>
      <c r="AA117" s="52"/>
      <c r="AB117" s="41" t="s">
        <v>296</v>
      </c>
    </row>
    <row r="118" spans="1:28" s="54" customFormat="1" x14ac:dyDescent="0.2">
      <c r="A118" s="52"/>
      <c r="B118" s="52"/>
      <c r="C118" s="53"/>
      <c r="H118" s="55"/>
      <c r="I118" s="56"/>
      <c r="J118" s="67"/>
      <c r="K118" s="50"/>
      <c r="L118" s="57"/>
      <c r="M118" s="55"/>
      <c r="N118" s="58"/>
      <c r="O118" s="51"/>
      <c r="Q118" s="59"/>
      <c r="R118" s="60"/>
      <c r="T118" s="51"/>
      <c r="U118" s="61"/>
      <c r="V118" s="61"/>
      <c r="AA118" s="52"/>
      <c r="AB118" s="41"/>
    </row>
    <row r="119" spans="1:28" s="54" customFormat="1" x14ac:dyDescent="0.2">
      <c r="A119" s="52">
        <v>16</v>
      </c>
      <c r="B119" s="52" t="s">
        <v>66</v>
      </c>
      <c r="C119" s="53">
        <v>36761</v>
      </c>
      <c r="D119" s="54" t="s">
        <v>17</v>
      </c>
      <c r="E119" s="54" t="s">
        <v>14</v>
      </c>
      <c r="F119" s="54" t="s">
        <v>15</v>
      </c>
      <c r="G119" s="54" t="s">
        <v>33</v>
      </c>
      <c r="H119" s="55">
        <v>0</v>
      </c>
      <c r="I119" s="56">
        <f t="shared" ref="I119:I124" si="37">+H119*K119</f>
        <v>0</v>
      </c>
      <c r="J119" s="66">
        <v>36770</v>
      </c>
      <c r="K119" s="50">
        <v>10000</v>
      </c>
      <c r="L119" s="57" t="s">
        <v>25</v>
      </c>
      <c r="M119" s="55" t="s">
        <v>55</v>
      </c>
      <c r="N119" s="58"/>
      <c r="O119" s="51">
        <f t="shared" ref="O119:O124" si="38">0.005*K119</f>
        <v>50</v>
      </c>
      <c r="Q119" s="59">
        <v>4.45</v>
      </c>
      <c r="R119" s="60"/>
      <c r="T119" s="51">
        <v>0</v>
      </c>
      <c r="U119" s="61"/>
      <c r="V119" s="61"/>
      <c r="Y119" s="54" t="s">
        <v>56</v>
      </c>
      <c r="AA119" s="52"/>
      <c r="AB119" s="41" t="s">
        <v>296</v>
      </c>
    </row>
    <row r="120" spans="1:28" s="54" customFormat="1" x14ac:dyDescent="0.2">
      <c r="A120" s="52">
        <v>16</v>
      </c>
      <c r="B120" s="52" t="s">
        <v>66</v>
      </c>
      <c r="C120" s="53">
        <v>36761</v>
      </c>
      <c r="D120" s="54" t="s">
        <v>17</v>
      </c>
      <c r="E120" s="54" t="s">
        <v>14</v>
      </c>
      <c r="F120" s="54" t="s">
        <v>15</v>
      </c>
      <c r="G120" s="54" t="s">
        <v>33</v>
      </c>
      <c r="H120" s="55">
        <v>0</v>
      </c>
      <c r="I120" s="56">
        <f t="shared" si="37"/>
        <v>0</v>
      </c>
      <c r="J120" s="66">
        <v>36800</v>
      </c>
      <c r="K120" s="50">
        <v>10000</v>
      </c>
      <c r="L120" s="57" t="s">
        <v>25</v>
      </c>
      <c r="M120" s="55" t="s">
        <v>55</v>
      </c>
      <c r="N120" s="58"/>
      <c r="O120" s="51">
        <f t="shared" si="38"/>
        <v>50</v>
      </c>
      <c r="Q120" s="59">
        <v>5.1050000000000004</v>
      </c>
      <c r="R120" s="60"/>
      <c r="T120" s="51">
        <v>0</v>
      </c>
      <c r="U120" s="61"/>
      <c r="V120" s="61"/>
      <c r="AA120" s="52"/>
      <c r="AB120" s="41" t="s">
        <v>296</v>
      </c>
    </row>
    <row r="121" spans="1:28" s="54" customFormat="1" x14ac:dyDescent="0.2">
      <c r="A121" s="52">
        <v>16</v>
      </c>
      <c r="B121" s="52" t="s">
        <v>66</v>
      </c>
      <c r="C121" s="53">
        <v>36761</v>
      </c>
      <c r="D121" s="54" t="s">
        <v>17</v>
      </c>
      <c r="E121" s="54" t="s">
        <v>14</v>
      </c>
      <c r="F121" s="54" t="s">
        <v>15</v>
      </c>
      <c r="G121" s="54" t="s">
        <v>33</v>
      </c>
      <c r="H121" s="55">
        <v>0</v>
      </c>
      <c r="I121" s="56">
        <f t="shared" si="37"/>
        <v>0</v>
      </c>
      <c r="J121" s="66">
        <v>36831</v>
      </c>
      <c r="K121" s="50">
        <v>10000</v>
      </c>
      <c r="L121" s="57" t="s">
        <v>25</v>
      </c>
      <c r="M121" s="55" t="s">
        <v>55</v>
      </c>
      <c r="N121" s="58"/>
      <c r="O121" s="51">
        <f t="shared" si="38"/>
        <v>50</v>
      </c>
      <c r="Q121" s="59">
        <v>4.3099999999999996</v>
      </c>
      <c r="R121" s="60"/>
      <c r="T121" s="51">
        <v>0</v>
      </c>
      <c r="U121" s="61"/>
      <c r="V121" s="61"/>
      <c r="AA121" s="52"/>
      <c r="AB121" s="41" t="s">
        <v>296</v>
      </c>
    </row>
    <row r="122" spans="1:28" s="54" customFormat="1" x14ac:dyDescent="0.2">
      <c r="A122" s="52">
        <v>16</v>
      </c>
      <c r="B122" s="52" t="s">
        <v>66</v>
      </c>
      <c r="C122" s="53">
        <v>36761</v>
      </c>
      <c r="D122" s="54" t="s">
        <v>17</v>
      </c>
      <c r="E122" s="54" t="s">
        <v>14</v>
      </c>
      <c r="F122" s="54" t="s">
        <v>15</v>
      </c>
      <c r="G122" s="54" t="s">
        <v>33</v>
      </c>
      <c r="H122" s="55">
        <v>0</v>
      </c>
      <c r="I122" s="56">
        <f t="shared" si="37"/>
        <v>0</v>
      </c>
      <c r="J122" s="66">
        <v>36861</v>
      </c>
      <c r="K122" s="50">
        <v>10000</v>
      </c>
      <c r="L122" s="57" t="s">
        <v>25</v>
      </c>
      <c r="M122" s="55" t="s">
        <v>55</v>
      </c>
      <c r="N122" s="58"/>
      <c r="O122" s="51">
        <f t="shared" si="38"/>
        <v>50</v>
      </c>
      <c r="Q122" s="59">
        <v>5.7750000000000004</v>
      </c>
      <c r="R122" s="60"/>
      <c r="T122" s="51">
        <v>0</v>
      </c>
      <c r="U122" s="61"/>
      <c r="V122" s="61"/>
      <c r="AA122" s="52"/>
      <c r="AB122" s="41" t="s">
        <v>296</v>
      </c>
    </row>
    <row r="123" spans="1:28" s="54" customFormat="1" x14ac:dyDescent="0.2">
      <c r="A123" s="52">
        <v>16</v>
      </c>
      <c r="B123" s="52" t="s">
        <v>66</v>
      </c>
      <c r="C123" s="53">
        <v>36761</v>
      </c>
      <c r="D123" s="54" t="s">
        <v>17</v>
      </c>
      <c r="E123" s="54" t="s">
        <v>14</v>
      </c>
      <c r="F123" s="54" t="s">
        <v>15</v>
      </c>
      <c r="G123" s="54" t="s">
        <v>33</v>
      </c>
      <c r="H123" s="55">
        <v>0</v>
      </c>
      <c r="I123" s="56">
        <f t="shared" si="37"/>
        <v>0</v>
      </c>
      <c r="J123" s="66">
        <v>36892</v>
      </c>
      <c r="K123" s="50">
        <v>10000</v>
      </c>
      <c r="L123" s="57" t="s">
        <v>25</v>
      </c>
      <c r="M123" s="55" t="s">
        <v>55</v>
      </c>
      <c r="N123" s="58"/>
      <c r="O123" s="51">
        <f t="shared" si="38"/>
        <v>50</v>
      </c>
      <c r="Q123" s="100">
        <v>9.5649999999999995</v>
      </c>
      <c r="R123" s="60"/>
      <c r="T123" s="62">
        <f>(9.2-Q123)*K123</f>
        <v>-3650.0000000000023</v>
      </c>
      <c r="U123" s="61"/>
      <c r="V123" s="61"/>
      <c r="AA123" s="52"/>
      <c r="AB123" s="41" t="s">
        <v>296</v>
      </c>
    </row>
    <row r="124" spans="1:28" s="54" customFormat="1" x14ac:dyDescent="0.2">
      <c r="A124" s="52">
        <v>16</v>
      </c>
      <c r="B124" s="52" t="s">
        <v>66</v>
      </c>
      <c r="C124" s="53">
        <v>36761</v>
      </c>
      <c r="D124" s="54" t="s">
        <v>17</v>
      </c>
      <c r="E124" s="54" t="s">
        <v>14</v>
      </c>
      <c r="F124" s="54" t="s">
        <v>15</v>
      </c>
      <c r="G124" s="54" t="s">
        <v>33</v>
      </c>
      <c r="H124" s="55">
        <v>0</v>
      </c>
      <c r="I124" s="56">
        <f t="shared" si="37"/>
        <v>0</v>
      </c>
      <c r="J124" s="66">
        <v>36923</v>
      </c>
      <c r="K124" s="50">
        <v>10000</v>
      </c>
      <c r="L124" s="57" t="s">
        <v>25</v>
      </c>
      <c r="M124" s="55" t="s">
        <v>55</v>
      </c>
      <c r="N124" s="58"/>
      <c r="O124" s="51">
        <f t="shared" si="38"/>
        <v>50</v>
      </c>
      <c r="Q124" s="59"/>
      <c r="R124" s="60"/>
      <c r="T124" s="51"/>
      <c r="U124" s="61"/>
      <c r="V124" s="61"/>
      <c r="AA124" s="52"/>
      <c r="AB124" s="41" t="s">
        <v>296</v>
      </c>
    </row>
    <row r="126" spans="1:28" x14ac:dyDescent="0.2">
      <c r="A126" s="91">
        <v>17</v>
      </c>
      <c r="B126" s="91" t="s">
        <v>104</v>
      </c>
      <c r="C126" s="92">
        <v>36762</v>
      </c>
      <c r="D126" s="41" t="s">
        <v>73</v>
      </c>
      <c r="E126" s="41" t="s">
        <v>14</v>
      </c>
      <c r="F126" s="41" t="s">
        <v>21</v>
      </c>
      <c r="G126" s="41" t="s">
        <v>74</v>
      </c>
      <c r="H126" s="93">
        <v>0</v>
      </c>
      <c r="I126" s="94">
        <f t="shared" ref="I126:I137" si="39">+H126*K126</f>
        <v>0</v>
      </c>
      <c r="J126" s="95">
        <v>36770</v>
      </c>
      <c r="K126" s="96">
        <v>250000</v>
      </c>
      <c r="L126" s="97" t="s">
        <v>25</v>
      </c>
      <c r="M126" s="93">
        <v>4.0199999999999996</v>
      </c>
      <c r="N126" s="99">
        <f t="shared" ref="N126:N137" si="40">K126*M126</f>
        <v>1004999.9999999999</v>
      </c>
      <c r="O126" s="62">
        <f t="shared" ref="O126:O131" si="41">0.01*K126</f>
        <v>2500</v>
      </c>
      <c r="Q126" s="100">
        <v>4.6399999999999997</v>
      </c>
      <c r="T126" s="62">
        <f>(M126-Q126)*K126</f>
        <v>-155000.00000000003</v>
      </c>
      <c r="Y126" s="41" t="s">
        <v>210</v>
      </c>
      <c r="AB126" s="41" t="s">
        <v>296</v>
      </c>
    </row>
    <row r="127" spans="1:28" x14ac:dyDescent="0.2">
      <c r="A127" s="91">
        <v>17</v>
      </c>
      <c r="B127" s="91" t="s">
        <v>104</v>
      </c>
      <c r="C127" s="92">
        <v>36762</v>
      </c>
      <c r="D127" s="41" t="s">
        <v>73</v>
      </c>
      <c r="E127" s="41" t="s">
        <v>14</v>
      </c>
      <c r="F127" s="41" t="s">
        <v>21</v>
      </c>
      <c r="G127" s="41" t="s">
        <v>74</v>
      </c>
      <c r="H127" s="93">
        <v>0</v>
      </c>
      <c r="I127" s="94">
        <f t="shared" si="39"/>
        <v>0</v>
      </c>
      <c r="J127" s="95">
        <v>36800</v>
      </c>
      <c r="K127" s="96">
        <v>250000</v>
      </c>
      <c r="L127" s="97" t="s">
        <v>25</v>
      </c>
      <c r="M127" s="93">
        <v>4.0199999999999996</v>
      </c>
      <c r="N127" s="99">
        <f t="shared" si="40"/>
        <v>1004999.9999999999</v>
      </c>
      <c r="O127" s="62">
        <f t="shared" si="41"/>
        <v>2500</v>
      </c>
      <c r="Q127" s="100">
        <v>5.3</v>
      </c>
      <c r="T127" s="62">
        <f>(M127-Q127)*K127</f>
        <v>-320000.00000000006</v>
      </c>
      <c r="AB127" s="41" t="s">
        <v>296</v>
      </c>
    </row>
    <row r="128" spans="1:28" x14ac:dyDescent="0.2">
      <c r="A128" s="91">
        <v>17</v>
      </c>
      <c r="B128" s="91" t="s">
        <v>104</v>
      </c>
      <c r="C128" s="92">
        <v>36762</v>
      </c>
      <c r="D128" s="41" t="s">
        <v>73</v>
      </c>
      <c r="E128" s="41" t="s">
        <v>14</v>
      </c>
      <c r="F128" s="41" t="s">
        <v>21</v>
      </c>
      <c r="G128" s="41" t="s">
        <v>74</v>
      </c>
      <c r="H128" s="93">
        <v>0</v>
      </c>
      <c r="I128" s="94">
        <f t="shared" si="39"/>
        <v>0</v>
      </c>
      <c r="J128" s="95">
        <v>36831</v>
      </c>
      <c r="K128" s="96">
        <v>250000</v>
      </c>
      <c r="L128" s="97" t="s">
        <v>25</v>
      </c>
      <c r="M128" s="93">
        <v>4.0199999999999996</v>
      </c>
      <c r="N128" s="99">
        <f t="shared" si="40"/>
        <v>1004999.9999999999</v>
      </c>
      <c r="O128" s="62">
        <f t="shared" si="41"/>
        <v>2500</v>
      </c>
      <c r="Q128" s="100">
        <v>4.46</v>
      </c>
      <c r="T128" s="62">
        <f>(M128-Q128)*K128</f>
        <v>-110000.0000000001</v>
      </c>
      <c r="AB128" s="41" t="s">
        <v>296</v>
      </c>
    </row>
    <row r="129" spans="1:28" x14ac:dyDescent="0.2">
      <c r="A129" s="91">
        <v>17</v>
      </c>
      <c r="B129" s="91" t="s">
        <v>104</v>
      </c>
      <c r="C129" s="92">
        <v>36762</v>
      </c>
      <c r="D129" s="41" t="s">
        <v>73</v>
      </c>
      <c r="E129" s="41" t="s">
        <v>14</v>
      </c>
      <c r="F129" s="41" t="s">
        <v>21</v>
      </c>
      <c r="G129" s="41" t="s">
        <v>74</v>
      </c>
      <c r="H129" s="93">
        <v>0</v>
      </c>
      <c r="I129" s="94">
        <f t="shared" si="39"/>
        <v>0</v>
      </c>
      <c r="J129" s="95">
        <v>36861</v>
      </c>
      <c r="K129" s="96">
        <v>250000</v>
      </c>
      <c r="L129" s="97" t="s">
        <v>25</v>
      </c>
      <c r="M129" s="93">
        <v>4.0199999999999996</v>
      </c>
      <c r="N129" s="99">
        <f t="shared" si="40"/>
        <v>1004999.9999999999</v>
      </c>
      <c r="O129" s="62">
        <f t="shared" si="41"/>
        <v>2500</v>
      </c>
      <c r="Q129" s="100">
        <v>6</v>
      </c>
      <c r="T129" s="62">
        <f>(M129-Q129)*K129</f>
        <v>-495000.00000000012</v>
      </c>
      <c r="AB129" s="41" t="s">
        <v>296</v>
      </c>
    </row>
    <row r="130" spans="1:28" x14ac:dyDescent="0.2">
      <c r="A130" s="91">
        <v>17</v>
      </c>
      <c r="B130" s="91" t="s">
        <v>104</v>
      </c>
      <c r="C130" s="92">
        <v>36762</v>
      </c>
      <c r="D130" s="41" t="s">
        <v>73</v>
      </c>
      <c r="E130" s="41" t="s">
        <v>14</v>
      </c>
      <c r="F130" s="41" t="s">
        <v>21</v>
      </c>
      <c r="G130" s="41" t="s">
        <v>74</v>
      </c>
      <c r="H130" s="93">
        <v>0</v>
      </c>
      <c r="I130" s="94">
        <f t="shared" si="39"/>
        <v>0</v>
      </c>
      <c r="J130" s="95">
        <v>36892</v>
      </c>
      <c r="K130" s="96">
        <v>250000</v>
      </c>
      <c r="L130" s="97" t="s">
        <v>25</v>
      </c>
      <c r="M130" s="93">
        <v>4.0199999999999996</v>
      </c>
      <c r="N130" s="99">
        <f t="shared" si="40"/>
        <v>1004999.9999999999</v>
      </c>
      <c r="O130" s="62">
        <f t="shared" si="41"/>
        <v>2500</v>
      </c>
      <c r="Q130" s="100">
        <v>9.84</v>
      </c>
      <c r="T130" s="62">
        <f>(M130-Q130)*K130</f>
        <v>-1455000</v>
      </c>
      <c r="AB130" s="41" t="s">
        <v>296</v>
      </c>
    </row>
    <row r="131" spans="1:28" x14ac:dyDescent="0.2">
      <c r="A131" s="91">
        <v>17</v>
      </c>
      <c r="B131" s="91" t="s">
        <v>104</v>
      </c>
      <c r="C131" s="92">
        <v>36762</v>
      </c>
      <c r="D131" s="41" t="s">
        <v>73</v>
      </c>
      <c r="E131" s="41" t="s">
        <v>14</v>
      </c>
      <c r="F131" s="41" t="s">
        <v>21</v>
      </c>
      <c r="G131" s="41" t="s">
        <v>74</v>
      </c>
      <c r="H131" s="93">
        <v>0</v>
      </c>
      <c r="I131" s="94">
        <f t="shared" si="39"/>
        <v>0</v>
      </c>
      <c r="J131" s="95">
        <v>36923</v>
      </c>
      <c r="K131" s="96">
        <v>250000</v>
      </c>
      <c r="L131" s="97" t="s">
        <v>25</v>
      </c>
      <c r="M131" s="93">
        <v>4.0199999999999996</v>
      </c>
      <c r="N131" s="99">
        <f t="shared" si="40"/>
        <v>1004999.9999999999</v>
      </c>
      <c r="O131" s="62">
        <f t="shared" si="41"/>
        <v>2500</v>
      </c>
      <c r="AB131" s="41" t="s">
        <v>296</v>
      </c>
    </row>
    <row r="132" spans="1:28" x14ac:dyDescent="0.2">
      <c r="A132" s="91">
        <v>17</v>
      </c>
      <c r="B132" s="91" t="s">
        <v>104</v>
      </c>
      <c r="C132" s="92">
        <v>36762</v>
      </c>
      <c r="D132" s="41" t="s">
        <v>73</v>
      </c>
      <c r="E132" s="41" t="s">
        <v>14</v>
      </c>
      <c r="F132" s="41" t="s">
        <v>21</v>
      </c>
      <c r="G132" s="41" t="s">
        <v>75</v>
      </c>
      <c r="I132" s="94">
        <f t="shared" si="39"/>
        <v>0</v>
      </c>
      <c r="J132" s="95">
        <v>36951</v>
      </c>
      <c r="K132" s="96">
        <v>250000</v>
      </c>
      <c r="L132" s="97" t="s">
        <v>25</v>
      </c>
      <c r="M132" s="93">
        <v>4.0199999999999996</v>
      </c>
      <c r="N132" s="99">
        <f t="shared" si="40"/>
        <v>1004999.9999999999</v>
      </c>
      <c r="O132" s="62">
        <v>0</v>
      </c>
      <c r="AB132" s="41" t="s">
        <v>296</v>
      </c>
    </row>
    <row r="133" spans="1:28" x14ac:dyDescent="0.2">
      <c r="A133" s="91">
        <v>17</v>
      </c>
      <c r="B133" s="91" t="s">
        <v>104</v>
      </c>
      <c r="C133" s="92">
        <v>36762</v>
      </c>
      <c r="D133" s="41" t="s">
        <v>73</v>
      </c>
      <c r="E133" s="41" t="s">
        <v>14</v>
      </c>
      <c r="F133" s="41" t="s">
        <v>21</v>
      </c>
      <c r="G133" s="41" t="s">
        <v>75</v>
      </c>
      <c r="I133" s="94">
        <f t="shared" si="39"/>
        <v>0</v>
      </c>
      <c r="J133" s="95">
        <v>36982</v>
      </c>
      <c r="K133" s="96">
        <v>250000</v>
      </c>
      <c r="L133" s="97" t="s">
        <v>25</v>
      </c>
      <c r="M133" s="93">
        <v>4.0199999999999996</v>
      </c>
      <c r="N133" s="99">
        <f t="shared" si="40"/>
        <v>1004999.9999999999</v>
      </c>
      <c r="O133" s="62">
        <v>0</v>
      </c>
      <c r="AB133" s="41" t="s">
        <v>296</v>
      </c>
    </row>
    <row r="134" spans="1:28" x14ac:dyDescent="0.2">
      <c r="A134" s="91">
        <v>17</v>
      </c>
      <c r="B134" s="91" t="s">
        <v>104</v>
      </c>
      <c r="C134" s="92">
        <v>36762</v>
      </c>
      <c r="D134" s="41" t="s">
        <v>73</v>
      </c>
      <c r="E134" s="41" t="s">
        <v>14</v>
      </c>
      <c r="F134" s="41" t="s">
        <v>21</v>
      </c>
      <c r="G134" s="41" t="s">
        <v>75</v>
      </c>
      <c r="I134" s="94">
        <f t="shared" si="39"/>
        <v>0</v>
      </c>
      <c r="J134" s="95">
        <v>37012</v>
      </c>
      <c r="K134" s="96">
        <v>250000</v>
      </c>
      <c r="L134" s="97" t="s">
        <v>25</v>
      </c>
      <c r="M134" s="93">
        <v>4.0199999999999996</v>
      </c>
      <c r="N134" s="99">
        <f t="shared" si="40"/>
        <v>1004999.9999999999</v>
      </c>
      <c r="O134" s="62">
        <v>0</v>
      </c>
      <c r="AB134" s="41" t="s">
        <v>296</v>
      </c>
    </row>
    <row r="135" spans="1:28" x14ac:dyDescent="0.2">
      <c r="A135" s="91">
        <v>17</v>
      </c>
      <c r="B135" s="91" t="s">
        <v>104</v>
      </c>
      <c r="C135" s="92">
        <v>36762</v>
      </c>
      <c r="D135" s="41" t="s">
        <v>73</v>
      </c>
      <c r="E135" s="41" t="s">
        <v>14</v>
      </c>
      <c r="F135" s="41" t="s">
        <v>21</v>
      </c>
      <c r="G135" s="41" t="s">
        <v>75</v>
      </c>
      <c r="I135" s="94">
        <f t="shared" si="39"/>
        <v>0</v>
      </c>
      <c r="J135" s="95">
        <v>37043</v>
      </c>
      <c r="K135" s="96">
        <v>250000</v>
      </c>
      <c r="L135" s="97" t="s">
        <v>25</v>
      </c>
      <c r="M135" s="93">
        <v>4.0199999999999996</v>
      </c>
      <c r="N135" s="99">
        <f t="shared" si="40"/>
        <v>1004999.9999999999</v>
      </c>
      <c r="O135" s="62">
        <v>0</v>
      </c>
      <c r="AB135" s="41" t="s">
        <v>296</v>
      </c>
    </row>
    <row r="136" spans="1:28" x14ac:dyDescent="0.2">
      <c r="A136" s="91">
        <v>17</v>
      </c>
      <c r="B136" s="91" t="s">
        <v>104</v>
      </c>
      <c r="C136" s="92">
        <v>36762</v>
      </c>
      <c r="D136" s="41" t="s">
        <v>73</v>
      </c>
      <c r="E136" s="41" t="s">
        <v>14</v>
      </c>
      <c r="F136" s="41" t="s">
        <v>21</v>
      </c>
      <c r="G136" s="41" t="s">
        <v>75</v>
      </c>
      <c r="I136" s="94">
        <f t="shared" si="39"/>
        <v>0</v>
      </c>
      <c r="J136" s="95">
        <v>37073</v>
      </c>
      <c r="K136" s="96">
        <v>250000</v>
      </c>
      <c r="L136" s="97" t="s">
        <v>25</v>
      </c>
      <c r="M136" s="93">
        <v>4.0199999999999996</v>
      </c>
      <c r="N136" s="99">
        <f t="shared" si="40"/>
        <v>1004999.9999999999</v>
      </c>
      <c r="O136" s="62">
        <v>0</v>
      </c>
      <c r="AB136" s="41" t="s">
        <v>296</v>
      </c>
    </row>
    <row r="137" spans="1:28" x14ac:dyDescent="0.2">
      <c r="A137" s="91">
        <v>17</v>
      </c>
      <c r="B137" s="91" t="s">
        <v>104</v>
      </c>
      <c r="C137" s="92">
        <v>36762</v>
      </c>
      <c r="D137" s="41" t="s">
        <v>73</v>
      </c>
      <c r="E137" s="41" t="s">
        <v>14</v>
      </c>
      <c r="F137" s="41" t="s">
        <v>21</v>
      </c>
      <c r="G137" s="41" t="s">
        <v>75</v>
      </c>
      <c r="I137" s="94">
        <f t="shared" si="39"/>
        <v>0</v>
      </c>
      <c r="J137" s="95">
        <v>37104</v>
      </c>
      <c r="K137" s="96">
        <v>250000</v>
      </c>
      <c r="L137" s="97" t="s">
        <v>25</v>
      </c>
      <c r="M137" s="93">
        <v>4.0199999999999996</v>
      </c>
      <c r="N137" s="99">
        <f t="shared" si="40"/>
        <v>1004999.9999999999</v>
      </c>
      <c r="O137" s="62">
        <v>0</v>
      </c>
      <c r="AB137" s="41" t="s">
        <v>296</v>
      </c>
    </row>
    <row r="139" spans="1:28" x14ac:dyDescent="0.2">
      <c r="A139" s="91">
        <v>18</v>
      </c>
      <c r="B139" s="91" t="s">
        <v>149</v>
      </c>
      <c r="C139" s="92">
        <v>36762</v>
      </c>
      <c r="D139" s="41" t="s">
        <v>77</v>
      </c>
      <c r="E139" s="41" t="s">
        <v>14</v>
      </c>
      <c r="F139" s="41" t="s">
        <v>15</v>
      </c>
      <c r="G139" s="41" t="s">
        <v>33</v>
      </c>
      <c r="H139" s="93">
        <v>0</v>
      </c>
      <c r="I139" s="94">
        <f t="shared" ref="I139:I144" si="42">+H139*K139</f>
        <v>0</v>
      </c>
      <c r="J139" s="95">
        <v>36770</v>
      </c>
      <c r="K139" s="96">
        <v>6000</v>
      </c>
      <c r="L139" s="97" t="s">
        <v>25</v>
      </c>
      <c r="M139" s="93" t="s">
        <v>76</v>
      </c>
      <c r="O139" s="62">
        <f t="shared" ref="O139:O144" si="43">0.005*K139</f>
        <v>30</v>
      </c>
      <c r="Q139" s="100">
        <v>4.45</v>
      </c>
      <c r="T139" s="62">
        <v>0</v>
      </c>
      <c r="Y139" s="41" t="s">
        <v>210</v>
      </c>
      <c r="AA139" s="91" t="s">
        <v>201</v>
      </c>
      <c r="AB139" s="41" t="s">
        <v>297</v>
      </c>
    </row>
    <row r="140" spans="1:28" x14ac:dyDescent="0.2">
      <c r="A140" s="91">
        <v>18</v>
      </c>
      <c r="B140" s="91" t="s">
        <v>149</v>
      </c>
      <c r="C140" s="92">
        <v>36762</v>
      </c>
      <c r="D140" s="41" t="s">
        <v>77</v>
      </c>
      <c r="E140" s="41" t="s">
        <v>14</v>
      </c>
      <c r="F140" s="41" t="s">
        <v>15</v>
      </c>
      <c r="G140" s="41" t="s">
        <v>33</v>
      </c>
      <c r="H140" s="93">
        <v>0</v>
      </c>
      <c r="I140" s="94">
        <f t="shared" si="42"/>
        <v>0</v>
      </c>
      <c r="J140" s="95">
        <v>36800</v>
      </c>
      <c r="K140" s="96">
        <v>6000</v>
      </c>
      <c r="L140" s="97" t="s">
        <v>25</v>
      </c>
      <c r="M140" s="93" t="s">
        <v>76</v>
      </c>
      <c r="O140" s="62">
        <f t="shared" si="43"/>
        <v>30</v>
      </c>
      <c r="Q140" s="100">
        <v>5.1050000000000004</v>
      </c>
      <c r="T140" s="62">
        <v>0</v>
      </c>
      <c r="AA140" s="91" t="s">
        <v>201</v>
      </c>
      <c r="AB140" s="41" t="s">
        <v>297</v>
      </c>
    </row>
    <row r="141" spans="1:28" x14ac:dyDescent="0.2">
      <c r="A141" s="91">
        <v>18</v>
      </c>
      <c r="B141" s="91" t="s">
        <v>149</v>
      </c>
      <c r="C141" s="92">
        <v>36762</v>
      </c>
      <c r="D141" s="41" t="s">
        <v>77</v>
      </c>
      <c r="E141" s="41" t="s">
        <v>14</v>
      </c>
      <c r="F141" s="41" t="s">
        <v>15</v>
      </c>
      <c r="G141" s="41" t="s">
        <v>33</v>
      </c>
      <c r="H141" s="93">
        <v>0</v>
      </c>
      <c r="I141" s="94">
        <f t="shared" si="42"/>
        <v>0</v>
      </c>
      <c r="J141" s="95">
        <v>36831</v>
      </c>
      <c r="K141" s="96">
        <v>6000</v>
      </c>
      <c r="L141" s="97" t="s">
        <v>25</v>
      </c>
      <c r="M141" s="93" t="s">
        <v>76</v>
      </c>
      <c r="O141" s="62">
        <f t="shared" si="43"/>
        <v>30</v>
      </c>
      <c r="Q141" s="100">
        <v>4.3099999999999996</v>
      </c>
      <c r="T141" s="62">
        <v>0</v>
      </c>
      <c r="AA141" s="91" t="s">
        <v>201</v>
      </c>
      <c r="AB141" s="41" t="s">
        <v>297</v>
      </c>
    </row>
    <row r="142" spans="1:28" x14ac:dyDescent="0.2">
      <c r="A142" s="91">
        <v>18</v>
      </c>
      <c r="B142" s="91" t="s">
        <v>149</v>
      </c>
      <c r="C142" s="92">
        <v>36762</v>
      </c>
      <c r="D142" s="41" t="s">
        <v>77</v>
      </c>
      <c r="E142" s="41" t="s">
        <v>14</v>
      </c>
      <c r="F142" s="41" t="s">
        <v>15</v>
      </c>
      <c r="G142" s="41" t="s">
        <v>33</v>
      </c>
      <c r="H142" s="93">
        <v>0</v>
      </c>
      <c r="I142" s="94">
        <f t="shared" si="42"/>
        <v>0</v>
      </c>
      <c r="J142" s="95">
        <v>36861</v>
      </c>
      <c r="K142" s="96">
        <v>6000</v>
      </c>
      <c r="L142" s="97" t="s">
        <v>25</v>
      </c>
      <c r="M142" s="93" t="s">
        <v>76</v>
      </c>
      <c r="O142" s="62">
        <f t="shared" si="43"/>
        <v>30</v>
      </c>
      <c r="Q142" s="100">
        <v>5.7750000000000004</v>
      </c>
      <c r="T142" s="62">
        <f>(5.2-Q142)*K142</f>
        <v>-3450.0000000000009</v>
      </c>
      <c r="AA142" s="91" t="s">
        <v>201</v>
      </c>
      <c r="AB142" s="41" t="s">
        <v>297</v>
      </c>
    </row>
    <row r="143" spans="1:28" x14ac:dyDescent="0.2">
      <c r="A143" s="91">
        <v>18</v>
      </c>
      <c r="B143" s="91" t="s">
        <v>149</v>
      </c>
      <c r="C143" s="92">
        <v>36762</v>
      </c>
      <c r="D143" s="41" t="s">
        <v>77</v>
      </c>
      <c r="E143" s="41" t="s">
        <v>14</v>
      </c>
      <c r="F143" s="41" t="s">
        <v>15</v>
      </c>
      <c r="G143" s="41" t="s">
        <v>33</v>
      </c>
      <c r="H143" s="93">
        <v>0</v>
      </c>
      <c r="I143" s="94">
        <f t="shared" si="42"/>
        <v>0</v>
      </c>
      <c r="J143" s="95">
        <v>36892</v>
      </c>
      <c r="K143" s="96">
        <v>6000</v>
      </c>
      <c r="L143" s="97" t="s">
        <v>25</v>
      </c>
      <c r="M143" s="93" t="s">
        <v>76</v>
      </c>
      <c r="O143" s="62">
        <f t="shared" si="43"/>
        <v>30</v>
      </c>
      <c r="Q143" s="100">
        <v>9.5649999999999995</v>
      </c>
      <c r="T143" s="62">
        <f>(5.2-Q143)*K143</f>
        <v>-26189.999999999996</v>
      </c>
      <c r="AA143" s="91" t="s">
        <v>201</v>
      </c>
      <c r="AB143" s="41" t="s">
        <v>297</v>
      </c>
    </row>
    <row r="144" spans="1:28" x14ac:dyDescent="0.2">
      <c r="A144" s="91">
        <v>18</v>
      </c>
      <c r="B144" s="91" t="s">
        <v>149</v>
      </c>
      <c r="C144" s="92">
        <v>36762</v>
      </c>
      <c r="D144" s="41" t="s">
        <v>77</v>
      </c>
      <c r="E144" s="41" t="s">
        <v>14</v>
      </c>
      <c r="F144" s="41" t="s">
        <v>15</v>
      </c>
      <c r="G144" s="41" t="s">
        <v>33</v>
      </c>
      <c r="H144" s="93">
        <v>0</v>
      </c>
      <c r="I144" s="94">
        <f t="shared" si="42"/>
        <v>0</v>
      </c>
      <c r="J144" s="95">
        <v>36923</v>
      </c>
      <c r="K144" s="96">
        <v>6000</v>
      </c>
      <c r="L144" s="97" t="s">
        <v>25</v>
      </c>
      <c r="M144" s="93" t="s">
        <v>76</v>
      </c>
      <c r="O144" s="62">
        <f t="shared" si="43"/>
        <v>30</v>
      </c>
      <c r="AA144" s="91" t="s">
        <v>201</v>
      </c>
      <c r="AB144" s="41" t="s">
        <v>297</v>
      </c>
    </row>
    <row r="146" spans="1:28" x14ac:dyDescent="0.2">
      <c r="A146" s="91">
        <v>19</v>
      </c>
      <c r="B146" s="91" t="s">
        <v>150</v>
      </c>
      <c r="C146" s="92">
        <v>36762</v>
      </c>
      <c r="D146" s="41" t="s">
        <v>78</v>
      </c>
      <c r="E146" s="41" t="s">
        <v>14</v>
      </c>
      <c r="F146" s="41" t="s">
        <v>15</v>
      </c>
      <c r="G146" s="41" t="s">
        <v>33</v>
      </c>
      <c r="H146" s="93">
        <v>0</v>
      </c>
      <c r="I146" s="94">
        <f t="shared" ref="I146:I151" si="44">+H146*K146</f>
        <v>0</v>
      </c>
      <c r="J146" s="95">
        <v>36770</v>
      </c>
      <c r="K146" s="96">
        <v>6000</v>
      </c>
      <c r="L146" s="97" t="s">
        <v>25</v>
      </c>
      <c r="M146" s="93" t="s">
        <v>76</v>
      </c>
      <c r="O146" s="62">
        <f t="shared" ref="O146:O151" si="45">0.005*K146</f>
        <v>30</v>
      </c>
      <c r="Q146" s="100">
        <v>4.45</v>
      </c>
      <c r="T146" s="62">
        <v>0</v>
      </c>
      <c r="Y146" s="41" t="s">
        <v>210</v>
      </c>
      <c r="AA146" s="91" t="s">
        <v>201</v>
      </c>
      <c r="AB146" s="41" t="s">
        <v>297</v>
      </c>
    </row>
    <row r="147" spans="1:28" x14ac:dyDescent="0.2">
      <c r="A147" s="91">
        <v>19</v>
      </c>
      <c r="B147" s="91" t="s">
        <v>150</v>
      </c>
      <c r="C147" s="92">
        <v>36762</v>
      </c>
      <c r="D147" s="41" t="s">
        <v>78</v>
      </c>
      <c r="E147" s="41" t="s">
        <v>14</v>
      </c>
      <c r="F147" s="41" t="s">
        <v>15</v>
      </c>
      <c r="G147" s="41" t="s">
        <v>33</v>
      </c>
      <c r="H147" s="93">
        <v>0</v>
      </c>
      <c r="I147" s="94">
        <f t="shared" si="44"/>
        <v>0</v>
      </c>
      <c r="J147" s="95">
        <v>36800</v>
      </c>
      <c r="K147" s="96">
        <f>+K146</f>
        <v>6000</v>
      </c>
      <c r="L147" s="97" t="s">
        <v>25</v>
      </c>
      <c r="M147" s="93" t="s">
        <v>76</v>
      </c>
      <c r="O147" s="62">
        <f t="shared" si="45"/>
        <v>30</v>
      </c>
      <c r="Q147" s="100">
        <v>5.1050000000000004</v>
      </c>
      <c r="T147" s="62">
        <v>0</v>
      </c>
      <c r="AA147" s="91" t="s">
        <v>201</v>
      </c>
      <c r="AB147" s="41" t="s">
        <v>297</v>
      </c>
    </row>
    <row r="148" spans="1:28" x14ac:dyDescent="0.2">
      <c r="A148" s="91">
        <v>19</v>
      </c>
      <c r="B148" s="91" t="s">
        <v>150</v>
      </c>
      <c r="C148" s="92">
        <v>36762</v>
      </c>
      <c r="D148" s="41" t="s">
        <v>78</v>
      </c>
      <c r="E148" s="41" t="s">
        <v>14</v>
      </c>
      <c r="F148" s="41" t="s">
        <v>15</v>
      </c>
      <c r="G148" s="41" t="s">
        <v>33</v>
      </c>
      <c r="H148" s="93">
        <v>0</v>
      </c>
      <c r="I148" s="94">
        <f t="shared" si="44"/>
        <v>0</v>
      </c>
      <c r="J148" s="95">
        <v>36831</v>
      </c>
      <c r="K148" s="96">
        <f>+K147</f>
        <v>6000</v>
      </c>
      <c r="L148" s="97" t="s">
        <v>25</v>
      </c>
      <c r="M148" s="93" t="s">
        <v>76</v>
      </c>
      <c r="O148" s="62">
        <f t="shared" si="45"/>
        <v>30</v>
      </c>
      <c r="Q148" s="100">
        <v>4.3099999999999996</v>
      </c>
      <c r="T148" s="62">
        <v>0</v>
      </c>
      <c r="AA148" s="91" t="s">
        <v>201</v>
      </c>
      <c r="AB148" s="41" t="s">
        <v>297</v>
      </c>
    </row>
    <row r="149" spans="1:28" x14ac:dyDescent="0.2">
      <c r="A149" s="91">
        <v>19</v>
      </c>
      <c r="B149" s="91" t="s">
        <v>150</v>
      </c>
      <c r="C149" s="92">
        <v>36762</v>
      </c>
      <c r="D149" s="41" t="s">
        <v>78</v>
      </c>
      <c r="E149" s="41" t="s">
        <v>14</v>
      </c>
      <c r="F149" s="41" t="s">
        <v>15</v>
      </c>
      <c r="G149" s="41" t="s">
        <v>33</v>
      </c>
      <c r="H149" s="93">
        <v>0</v>
      </c>
      <c r="I149" s="94">
        <f t="shared" si="44"/>
        <v>0</v>
      </c>
      <c r="J149" s="95">
        <v>36861</v>
      </c>
      <c r="K149" s="96">
        <f>+K148</f>
        <v>6000</v>
      </c>
      <c r="L149" s="97" t="s">
        <v>25</v>
      </c>
      <c r="M149" s="93" t="s">
        <v>76</v>
      </c>
      <c r="O149" s="62">
        <f t="shared" si="45"/>
        <v>30</v>
      </c>
      <c r="Q149" s="100">
        <v>5.7750000000000004</v>
      </c>
      <c r="T149" s="62">
        <f>(5.2-Q149)*K149</f>
        <v>-3450.0000000000009</v>
      </c>
      <c r="AA149" s="91" t="s">
        <v>201</v>
      </c>
      <c r="AB149" s="41" t="s">
        <v>297</v>
      </c>
    </row>
    <row r="150" spans="1:28" x14ac:dyDescent="0.2">
      <c r="A150" s="91">
        <v>19</v>
      </c>
      <c r="B150" s="91" t="s">
        <v>150</v>
      </c>
      <c r="C150" s="92">
        <v>36762</v>
      </c>
      <c r="D150" s="41" t="s">
        <v>78</v>
      </c>
      <c r="E150" s="41" t="s">
        <v>14</v>
      </c>
      <c r="F150" s="41" t="s">
        <v>15</v>
      </c>
      <c r="G150" s="41" t="s">
        <v>33</v>
      </c>
      <c r="H150" s="93">
        <v>0</v>
      </c>
      <c r="I150" s="94">
        <f t="shared" si="44"/>
        <v>0</v>
      </c>
      <c r="J150" s="95">
        <v>36892</v>
      </c>
      <c r="K150" s="96">
        <f>+K149</f>
        <v>6000</v>
      </c>
      <c r="L150" s="97" t="s">
        <v>25</v>
      </c>
      <c r="M150" s="93" t="s">
        <v>76</v>
      </c>
      <c r="O150" s="62">
        <f t="shared" si="45"/>
        <v>30</v>
      </c>
      <c r="Q150" s="100">
        <v>9.5649999999999995</v>
      </c>
      <c r="T150" s="62">
        <f>(5.2-Q150)*K150</f>
        <v>-26189.999999999996</v>
      </c>
      <c r="AA150" s="91" t="s">
        <v>201</v>
      </c>
      <c r="AB150" s="41" t="s">
        <v>297</v>
      </c>
    </row>
    <row r="151" spans="1:28" x14ac:dyDescent="0.2">
      <c r="A151" s="91">
        <v>19</v>
      </c>
      <c r="B151" s="91" t="s">
        <v>150</v>
      </c>
      <c r="C151" s="92">
        <v>36762</v>
      </c>
      <c r="D151" s="41" t="s">
        <v>78</v>
      </c>
      <c r="E151" s="41" t="s">
        <v>14</v>
      </c>
      <c r="F151" s="41" t="s">
        <v>15</v>
      </c>
      <c r="G151" s="41" t="s">
        <v>33</v>
      </c>
      <c r="H151" s="93">
        <v>0</v>
      </c>
      <c r="I151" s="94">
        <f t="shared" si="44"/>
        <v>0</v>
      </c>
      <c r="J151" s="95">
        <v>36923</v>
      </c>
      <c r="K151" s="96">
        <f>+K150</f>
        <v>6000</v>
      </c>
      <c r="L151" s="97" t="s">
        <v>25</v>
      </c>
      <c r="M151" s="93" t="s">
        <v>76</v>
      </c>
      <c r="O151" s="62">
        <f t="shared" si="45"/>
        <v>30</v>
      </c>
      <c r="AA151" s="91" t="s">
        <v>201</v>
      </c>
      <c r="AB151" s="41" t="s">
        <v>297</v>
      </c>
    </row>
    <row r="153" spans="1:28" x14ac:dyDescent="0.2">
      <c r="A153" s="91">
        <v>20</v>
      </c>
      <c r="B153" s="91" t="s">
        <v>151</v>
      </c>
      <c r="C153" s="92">
        <v>36762</v>
      </c>
      <c r="D153" s="41" t="s">
        <v>79</v>
      </c>
      <c r="E153" s="41" t="s">
        <v>14</v>
      </c>
      <c r="F153" s="41" t="s">
        <v>15</v>
      </c>
      <c r="G153" s="41" t="s">
        <v>33</v>
      </c>
      <c r="H153" s="93">
        <v>0</v>
      </c>
      <c r="I153" s="94">
        <f t="shared" ref="I153:I158" si="46">+H153*K153</f>
        <v>0</v>
      </c>
      <c r="J153" s="95">
        <v>36770</v>
      </c>
      <c r="K153" s="96">
        <v>14000</v>
      </c>
      <c r="L153" s="97" t="s">
        <v>25</v>
      </c>
      <c r="M153" s="93" t="s">
        <v>76</v>
      </c>
      <c r="O153" s="62">
        <f t="shared" ref="O153:O158" si="47">0.005*K153</f>
        <v>70</v>
      </c>
      <c r="Q153" s="100">
        <v>4.45</v>
      </c>
      <c r="T153" s="62">
        <v>0</v>
      </c>
      <c r="Y153" s="41" t="s">
        <v>210</v>
      </c>
      <c r="AA153" s="91" t="s">
        <v>201</v>
      </c>
      <c r="AB153" s="41" t="s">
        <v>297</v>
      </c>
    </row>
    <row r="154" spans="1:28" x14ac:dyDescent="0.2">
      <c r="A154" s="91">
        <v>20</v>
      </c>
      <c r="B154" s="91" t="s">
        <v>151</v>
      </c>
      <c r="C154" s="92">
        <v>36762</v>
      </c>
      <c r="D154" s="41" t="s">
        <v>79</v>
      </c>
      <c r="E154" s="41" t="s">
        <v>14</v>
      </c>
      <c r="F154" s="41" t="s">
        <v>15</v>
      </c>
      <c r="G154" s="41" t="s">
        <v>33</v>
      </c>
      <c r="H154" s="93">
        <v>0</v>
      </c>
      <c r="I154" s="94">
        <f t="shared" si="46"/>
        <v>0</v>
      </c>
      <c r="J154" s="95">
        <v>36800</v>
      </c>
      <c r="K154" s="96">
        <f>+K153</f>
        <v>14000</v>
      </c>
      <c r="L154" s="97" t="s">
        <v>25</v>
      </c>
      <c r="M154" s="93" t="s">
        <v>76</v>
      </c>
      <c r="O154" s="62">
        <f t="shared" si="47"/>
        <v>70</v>
      </c>
      <c r="Q154" s="100">
        <v>5.1050000000000004</v>
      </c>
      <c r="T154" s="62">
        <v>0</v>
      </c>
      <c r="AA154" s="91" t="s">
        <v>201</v>
      </c>
      <c r="AB154" s="41" t="s">
        <v>297</v>
      </c>
    </row>
    <row r="155" spans="1:28" x14ac:dyDescent="0.2">
      <c r="A155" s="91">
        <v>20</v>
      </c>
      <c r="B155" s="91" t="s">
        <v>151</v>
      </c>
      <c r="C155" s="92">
        <v>36762</v>
      </c>
      <c r="D155" s="41" t="s">
        <v>79</v>
      </c>
      <c r="E155" s="41" t="s">
        <v>14</v>
      </c>
      <c r="F155" s="41" t="s">
        <v>15</v>
      </c>
      <c r="G155" s="41" t="s">
        <v>33</v>
      </c>
      <c r="H155" s="93">
        <v>0</v>
      </c>
      <c r="I155" s="94">
        <f t="shared" si="46"/>
        <v>0</v>
      </c>
      <c r="J155" s="95">
        <v>36831</v>
      </c>
      <c r="K155" s="96">
        <f>+K154</f>
        <v>14000</v>
      </c>
      <c r="L155" s="97" t="s">
        <v>25</v>
      </c>
      <c r="M155" s="93" t="s">
        <v>76</v>
      </c>
      <c r="O155" s="62">
        <f t="shared" si="47"/>
        <v>70</v>
      </c>
      <c r="Q155" s="100">
        <v>4.3099999999999996</v>
      </c>
      <c r="T155" s="62">
        <v>0</v>
      </c>
      <c r="AA155" s="91" t="s">
        <v>201</v>
      </c>
      <c r="AB155" s="41" t="s">
        <v>297</v>
      </c>
    </row>
    <row r="156" spans="1:28" x14ac:dyDescent="0.2">
      <c r="A156" s="91">
        <v>20</v>
      </c>
      <c r="B156" s="91" t="s">
        <v>151</v>
      </c>
      <c r="C156" s="92">
        <v>36762</v>
      </c>
      <c r="D156" s="41" t="s">
        <v>79</v>
      </c>
      <c r="E156" s="41" t="s">
        <v>14</v>
      </c>
      <c r="F156" s="41" t="s">
        <v>15</v>
      </c>
      <c r="G156" s="41" t="s">
        <v>33</v>
      </c>
      <c r="H156" s="93">
        <v>0</v>
      </c>
      <c r="I156" s="94">
        <f t="shared" si="46"/>
        <v>0</v>
      </c>
      <c r="J156" s="95">
        <v>36861</v>
      </c>
      <c r="K156" s="96">
        <f>+K155</f>
        <v>14000</v>
      </c>
      <c r="L156" s="97" t="s">
        <v>25</v>
      </c>
      <c r="M156" s="93" t="s">
        <v>76</v>
      </c>
      <c r="O156" s="62">
        <f t="shared" si="47"/>
        <v>70</v>
      </c>
      <c r="Q156" s="100">
        <v>5.7750000000000004</v>
      </c>
      <c r="T156" s="62">
        <f>(5.2-Q156)*K156</f>
        <v>-8050.0000000000027</v>
      </c>
      <c r="AA156" s="91" t="s">
        <v>201</v>
      </c>
      <c r="AB156" s="41" t="s">
        <v>297</v>
      </c>
    </row>
    <row r="157" spans="1:28" x14ac:dyDescent="0.2">
      <c r="A157" s="91">
        <v>20</v>
      </c>
      <c r="B157" s="91" t="s">
        <v>151</v>
      </c>
      <c r="C157" s="92">
        <v>36762</v>
      </c>
      <c r="D157" s="41" t="s">
        <v>79</v>
      </c>
      <c r="E157" s="41" t="s">
        <v>14</v>
      </c>
      <c r="F157" s="41" t="s">
        <v>15</v>
      </c>
      <c r="G157" s="41" t="s">
        <v>33</v>
      </c>
      <c r="H157" s="93">
        <v>0</v>
      </c>
      <c r="I157" s="94">
        <f t="shared" si="46"/>
        <v>0</v>
      </c>
      <c r="J157" s="95">
        <v>36892</v>
      </c>
      <c r="K157" s="96">
        <f>+K156</f>
        <v>14000</v>
      </c>
      <c r="L157" s="97" t="s">
        <v>25</v>
      </c>
      <c r="M157" s="93" t="s">
        <v>76</v>
      </c>
      <c r="O157" s="62">
        <f t="shared" si="47"/>
        <v>70</v>
      </c>
      <c r="Q157" s="100">
        <v>9.5649999999999995</v>
      </c>
      <c r="T157" s="62">
        <f>(5.2-Q157)*K157</f>
        <v>-61109.999999999993</v>
      </c>
      <c r="AA157" s="91" t="s">
        <v>201</v>
      </c>
      <c r="AB157" s="41" t="s">
        <v>297</v>
      </c>
    </row>
    <row r="158" spans="1:28" x14ac:dyDescent="0.2">
      <c r="A158" s="91">
        <v>20</v>
      </c>
      <c r="B158" s="91" t="s">
        <v>151</v>
      </c>
      <c r="C158" s="92">
        <v>36762</v>
      </c>
      <c r="D158" s="41" t="s">
        <v>79</v>
      </c>
      <c r="E158" s="41" t="s">
        <v>14</v>
      </c>
      <c r="F158" s="41" t="s">
        <v>15</v>
      </c>
      <c r="G158" s="41" t="s">
        <v>33</v>
      </c>
      <c r="H158" s="93">
        <v>0</v>
      </c>
      <c r="I158" s="94">
        <f t="shared" si="46"/>
        <v>0</v>
      </c>
      <c r="J158" s="95">
        <v>36923</v>
      </c>
      <c r="K158" s="96">
        <f>+K157</f>
        <v>14000</v>
      </c>
      <c r="L158" s="97" t="s">
        <v>25</v>
      </c>
      <c r="M158" s="93" t="s">
        <v>76</v>
      </c>
      <c r="O158" s="62">
        <f t="shared" si="47"/>
        <v>70</v>
      </c>
      <c r="AA158" s="91" t="s">
        <v>201</v>
      </c>
      <c r="AB158" s="41" t="s">
        <v>297</v>
      </c>
    </row>
    <row r="160" spans="1:28" x14ac:dyDescent="0.2">
      <c r="A160" s="91">
        <v>21</v>
      </c>
      <c r="B160" s="91" t="s">
        <v>152</v>
      </c>
      <c r="C160" s="92">
        <v>36762</v>
      </c>
      <c r="D160" s="41" t="s">
        <v>80</v>
      </c>
      <c r="E160" s="41" t="s">
        <v>14</v>
      </c>
      <c r="F160" s="41" t="s">
        <v>15</v>
      </c>
      <c r="G160" s="41" t="s">
        <v>33</v>
      </c>
      <c r="H160" s="93">
        <v>0</v>
      </c>
      <c r="I160" s="94">
        <f t="shared" ref="I160:I165" si="48">+H160*K160</f>
        <v>0</v>
      </c>
      <c r="J160" s="95">
        <v>36770</v>
      </c>
      <c r="K160" s="96">
        <v>6000</v>
      </c>
      <c r="L160" s="97" t="s">
        <v>25</v>
      </c>
      <c r="M160" s="93" t="s">
        <v>76</v>
      </c>
      <c r="O160" s="62">
        <f t="shared" ref="O160:O165" si="49">0.005*K160</f>
        <v>30</v>
      </c>
      <c r="Q160" s="100">
        <v>4.45</v>
      </c>
      <c r="T160" s="62">
        <v>0</v>
      </c>
      <c r="Y160" s="41" t="s">
        <v>210</v>
      </c>
      <c r="AA160" s="91" t="s">
        <v>201</v>
      </c>
      <c r="AB160" s="41" t="s">
        <v>297</v>
      </c>
    </row>
    <row r="161" spans="1:28" x14ac:dyDescent="0.2">
      <c r="A161" s="91">
        <v>21</v>
      </c>
      <c r="B161" s="91" t="s">
        <v>152</v>
      </c>
      <c r="C161" s="92">
        <v>36762</v>
      </c>
      <c r="D161" s="41" t="s">
        <v>80</v>
      </c>
      <c r="E161" s="41" t="s">
        <v>14</v>
      </c>
      <c r="F161" s="41" t="s">
        <v>15</v>
      </c>
      <c r="G161" s="41" t="s">
        <v>33</v>
      </c>
      <c r="H161" s="93">
        <v>0</v>
      </c>
      <c r="I161" s="94">
        <f t="shared" si="48"/>
        <v>0</v>
      </c>
      <c r="J161" s="95">
        <v>36800</v>
      </c>
      <c r="K161" s="96">
        <f>+K160</f>
        <v>6000</v>
      </c>
      <c r="L161" s="97" t="s">
        <v>25</v>
      </c>
      <c r="M161" s="93" t="s">
        <v>76</v>
      </c>
      <c r="O161" s="62">
        <f t="shared" si="49"/>
        <v>30</v>
      </c>
      <c r="Q161" s="100">
        <v>5.1050000000000004</v>
      </c>
      <c r="T161" s="62">
        <v>0</v>
      </c>
      <c r="AA161" s="91" t="s">
        <v>201</v>
      </c>
      <c r="AB161" s="41" t="s">
        <v>297</v>
      </c>
    </row>
    <row r="162" spans="1:28" x14ac:dyDescent="0.2">
      <c r="A162" s="91">
        <v>21</v>
      </c>
      <c r="B162" s="91" t="s">
        <v>152</v>
      </c>
      <c r="C162" s="92">
        <v>36762</v>
      </c>
      <c r="D162" s="41" t="s">
        <v>80</v>
      </c>
      <c r="E162" s="41" t="s">
        <v>14</v>
      </c>
      <c r="F162" s="41" t="s">
        <v>15</v>
      </c>
      <c r="G162" s="41" t="s">
        <v>33</v>
      </c>
      <c r="H162" s="93">
        <v>0</v>
      </c>
      <c r="I162" s="94">
        <f t="shared" si="48"/>
        <v>0</v>
      </c>
      <c r="J162" s="95">
        <v>36831</v>
      </c>
      <c r="K162" s="96">
        <f>+K161</f>
        <v>6000</v>
      </c>
      <c r="L162" s="97" t="s">
        <v>25</v>
      </c>
      <c r="M162" s="93" t="s">
        <v>76</v>
      </c>
      <c r="O162" s="62">
        <f t="shared" si="49"/>
        <v>30</v>
      </c>
      <c r="Q162" s="100">
        <v>4.3099999999999996</v>
      </c>
      <c r="T162" s="62">
        <v>0</v>
      </c>
      <c r="AA162" s="91" t="s">
        <v>201</v>
      </c>
      <c r="AB162" s="41" t="s">
        <v>297</v>
      </c>
    </row>
    <row r="163" spans="1:28" x14ac:dyDescent="0.2">
      <c r="A163" s="91">
        <v>21</v>
      </c>
      <c r="B163" s="91" t="s">
        <v>152</v>
      </c>
      <c r="C163" s="92">
        <v>36762</v>
      </c>
      <c r="D163" s="41" t="s">
        <v>80</v>
      </c>
      <c r="E163" s="41" t="s">
        <v>14</v>
      </c>
      <c r="F163" s="41" t="s">
        <v>15</v>
      </c>
      <c r="G163" s="41" t="s">
        <v>33</v>
      </c>
      <c r="H163" s="93">
        <v>0</v>
      </c>
      <c r="I163" s="94">
        <f t="shared" si="48"/>
        <v>0</v>
      </c>
      <c r="J163" s="95">
        <v>36861</v>
      </c>
      <c r="K163" s="96">
        <f>+K162</f>
        <v>6000</v>
      </c>
      <c r="L163" s="97" t="s">
        <v>25</v>
      </c>
      <c r="M163" s="93" t="s">
        <v>76</v>
      </c>
      <c r="O163" s="62">
        <f t="shared" si="49"/>
        <v>30</v>
      </c>
      <c r="Q163" s="100">
        <v>5.7750000000000004</v>
      </c>
      <c r="T163" s="62">
        <f>(5.2-Q163)*K163</f>
        <v>-3450.0000000000009</v>
      </c>
      <c r="AA163" s="91" t="s">
        <v>201</v>
      </c>
      <c r="AB163" s="41" t="s">
        <v>297</v>
      </c>
    </row>
    <row r="164" spans="1:28" x14ac:dyDescent="0.2">
      <c r="A164" s="91">
        <v>21</v>
      </c>
      <c r="B164" s="91" t="s">
        <v>152</v>
      </c>
      <c r="C164" s="92">
        <v>36762</v>
      </c>
      <c r="D164" s="41" t="s">
        <v>80</v>
      </c>
      <c r="E164" s="41" t="s">
        <v>14</v>
      </c>
      <c r="F164" s="41" t="s">
        <v>15</v>
      </c>
      <c r="G164" s="41" t="s">
        <v>33</v>
      </c>
      <c r="H164" s="93">
        <v>0</v>
      </c>
      <c r="I164" s="94">
        <f t="shared" si="48"/>
        <v>0</v>
      </c>
      <c r="J164" s="95">
        <v>36892</v>
      </c>
      <c r="K164" s="96">
        <f>+K163</f>
        <v>6000</v>
      </c>
      <c r="L164" s="97" t="s">
        <v>25</v>
      </c>
      <c r="M164" s="93" t="s">
        <v>76</v>
      </c>
      <c r="O164" s="62">
        <f t="shared" si="49"/>
        <v>30</v>
      </c>
      <c r="Q164" s="100">
        <v>9.5649999999999995</v>
      </c>
      <c r="T164" s="62">
        <f>(5.2-Q164)*K164</f>
        <v>-26189.999999999996</v>
      </c>
      <c r="AA164" s="91" t="s">
        <v>201</v>
      </c>
      <c r="AB164" s="41" t="s">
        <v>297</v>
      </c>
    </row>
    <row r="165" spans="1:28" x14ac:dyDescent="0.2">
      <c r="A165" s="91">
        <v>21</v>
      </c>
      <c r="B165" s="91" t="s">
        <v>152</v>
      </c>
      <c r="C165" s="92">
        <v>36762</v>
      </c>
      <c r="D165" s="41" t="s">
        <v>80</v>
      </c>
      <c r="E165" s="41" t="s">
        <v>14</v>
      </c>
      <c r="F165" s="41" t="s">
        <v>15</v>
      </c>
      <c r="G165" s="41" t="s">
        <v>33</v>
      </c>
      <c r="H165" s="93">
        <v>0</v>
      </c>
      <c r="I165" s="94">
        <f t="shared" si="48"/>
        <v>0</v>
      </c>
      <c r="J165" s="95">
        <v>36923</v>
      </c>
      <c r="K165" s="96">
        <f>+K164</f>
        <v>6000</v>
      </c>
      <c r="L165" s="97" t="s">
        <v>25</v>
      </c>
      <c r="M165" s="93" t="s">
        <v>76</v>
      </c>
      <c r="O165" s="62">
        <f t="shared" si="49"/>
        <v>30</v>
      </c>
      <c r="AA165" s="91" t="s">
        <v>201</v>
      </c>
      <c r="AB165" s="41" t="s">
        <v>297</v>
      </c>
    </row>
    <row r="167" spans="1:28" x14ac:dyDescent="0.2">
      <c r="A167" s="91">
        <v>22</v>
      </c>
      <c r="B167" s="91" t="s">
        <v>153</v>
      </c>
      <c r="C167" s="92">
        <v>36762</v>
      </c>
      <c r="D167" s="41" t="s">
        <v>81</v>
      </c>
      <c r="E167" s="41" t="s">
        <v>14</v>
      </c>
      <c r="F167" s="41" t="s">
        <v>15</v>
      </c>
      <c r="G167" s="41" t="s">
        <v>33</v>
      </c>
      <c r="H167" s="93">
        <v>0</v>
      </c>
      <c r="I167" s="94">
        <f t="shared" ref="I167:I172" si="50">+H167*K167</f>
        <v>0</v>
      </c>
      <c r="J167" s="95">
        <v>36770</v>
      </c>
      <c r="K167" s="96">
        <v>14000</v>
      </c>
      <c r="L167" s="97" t="s">
        <v>25</v>
      </c>
      <c r="M167" s="93" t="s">
        <v>76</v>
      </c>
      <c r="O167" s="62">
        <f t="shared" ref="O167:O172" si="51">0.005*K167</f>
        <v>70</v>
      </c>
      <c r="Q167" s="100">
        <v>4.45</v>
      </c>
      <c r="T167" s="62">
        <v>0</v>
      </c>
      <c r="Y167" s="41" t="s">
        <v>210</v>
      </c>
      <c r="AA167" s="91" t="s">
        <v>201</v>
      </c>
      <c r="AB167" s="41" t="s">
        <v>297</v>
      </c>
    </row>
    <row r="168" spans="1:28" x14ac:dyDescent="0.2">
      <c r="A168" s="91">
        <v>22</v>
      </c>
      <c r="B168" s="91" t="s">
        <v>153</v>
      </c>
      <c r="C168" s="92">
        <v>36762</v>
      </c>
      <c r="D168" s="41" t="s">
        <v>81</v>
      </c>
      <c r="E168" s="41" t="s">
        <v>14</v>
      </c>
      <c r="F168" s="41" t="s">
        <v>15</v>
      </c>
      <c r="G168" s="41" t="s">
        <v>33</v>
      </c>
      <c r="H168" s="93">
        <v>0</v>
      </c>
      <c r="I168" s="94">
        <f t="shared" si="50"/>
        <v>0</v>
      </c>
      <c r="J168" s="95">
        <v>36800</v>
      </c>
      <c r="K168" s="96">
        <f>+K167</f>
        <v>14000</v>
      </c>
      <c r="L168" s="97" t="s">
        <v>25</v>
      </c>
      <c r="M168" s="93" t="s">
        <v>76</v>
      </c>
      <c r="O168" s="62">
        <f t="shared" si="51"/>
        <v>70</v>
      </c>
      <c r="Q168" s="100">
        <v>5.1050000000000004</v>
      </c>
      <c r="T168" s="62">
        <v>0</v>
      </c>
      <c r="AA168" s="91" t="s">
        <v>201</v>
      </c>
      <c r="AB168" s="41" t="s">
        <v>297</v>
      </c>
    </row>
    <row r="169" spans="1:28" x14ac:dyDescent="0.2">
      <c r="A169" s="91">
        <v>22</v>
      </c>
      <c r="B169" s="91" t="s">
        <v>153</v>
      </c>
      <c r="C169" s="92">
        <v>36762</v>
      </c>
      <c r="D169" s="41" t="s">
        <v>81</v>
      </c>
      <c r="E169" s="41" t="s">
        <v>14</v>
      </c>
      <c r="F169" s="41" t="s">
        <v>15</v>
      </c>
      <c r="G169" s="41" t="s">
        <v>33</v>
      </c>
      <c r="H169" s="93">
        <v>0</v>
      </c>
      <c r="I169" s="94">
        <f t="shared" si="50"/>
        <v>0</v>
      </c>
      <c r="J169" s="95">
        <v>36831</v>
      </c>
      <c r="K169" s="96">
        <f>+K168</f>
        <v>14000</v>
      </c>
      <c r="L169" s="97" t="s">
        <v>25</v>
      </c>
      <c r="M169" s="93" t="s">
        <v>76</v>
      </c>
      <c r="O169" s="62">
        <f t="shared" si="51"/>
        <v>70</v>
      </c>
      <c r="Q169" s="100">
        <v>4.3099999999999996</v>
      </c>
      <c r="T169" s="62">
        <v>0</v>
      </c>
      <c r="AA169" s="91" t="s">
        <v>201</v>
      </c>
      <c r="AB169" s="41" t="s">
        <v>297</v>
      </c>
    </row>
    <row r="170" spans="1:28" x14ac:dyDescent="0.2">
      <c r="A170" s="91">
        <v>22</v>
      </c>
      <c r="B170" s="91" t="s">
        <v>153</v>
      </c>
      <c r="C170" s="92">
        <v>36762</v>
      </c>
      <c r="D170" s="41" t="s">
        <v>81</v>
      </c>
      <c r="E170" s="41" t="s">
        <v>14</v>
      </c>
      <c r="F170" s="41" t="s">
        <v>15</v>
      </c>
      <c r="G170" s="41" t="s">
        <v>33</v>
      </c>
      <c r="H170" s="93">
        <v>0</v>
      </c>
      <c r="I170" s="94">
        <f t="shared" si="50"/>
        <v>0</v>
      </c>
      <c r="J170" s="95">
        <v>36861</v>
      </c>
      <c r="K170" s="96">
        <f>+K169</f>
        <v>14000</v>
      </c>
      <c r="L170" s="97" t="s">
        <v>25</v>
      </c>
      <c r="M170" s="93" t="s">
        <v>76</v>
      </c>
      <c r="O170" s="62">
        <f t="shared" si="51"/>
        <v>70</v>
      </c>
      <c r="Q170" s="100">
        <v>5.7750000000000004</v>
      </c>
      <c r="T170" s="62">
        <f>(5.2-Q170)*K170</f>
        <v>-8050.0000000000027</v>
      </c>
      <c r="AA170" s="91" t="s">
        <v>201</v>
      </c>
      <c r="AB170" s="41" t="s">
        <v>297</v>
      </c>
    </row>
    <row r="171" spans="1:28" x14ac:dyDescent="0.2">
      <c r="A171" s="91">
        <v>22</v>
      </c>
      <c r="B171" s="91" t="s">
        <v>153</v>
      </c>
      <c r="C171" s="92">
        <v>36762</v>
      </c>
      <c r="D171" s="41" t="s">
        <v>81</v>
      </c>
      <c r="E171" s="41" t="s">
        <v>14</v>
      </c>
      <c r="F171" s="41" t="s">
        <v>15</v>
      </c>
      <c r="G171" s="41" t="s">
        <v>33</v>
      </c>
      <c r="H171" s="93">
        <v>0</v>
      </c>
      <c r="I171" s="94">
        <f t="shared" si="50"/>
        <v>0</v>
      </c>
      <c r="J171" s="95">
        <v>36892</v>
      </c>
      <c r="K171" s="96">
        <f>+K170</f>
        <v>14000</v>
      </c>
      <c r="L171" s="97" t="s">
        <v>25</v>
      </c>
      <c r="M171" s="93" t="s">
        <v>76</v>
      </c>
      <c r="O171" s="62">
        <f t="shared" si="51"/>
        <v>70</v>
      </c>
      <c r="Q171" s="100">
        <v>9.5649999999999995</v>
      </c>
      <c r="T171" s="62">
        <f>(5.2-Q171)*K171</f>
        <v>-61109.999999999993</v>
      </c>
      <c r="AA171" s="91" t="s">
        <v>201</v>
      </c>
      <c r="AB171" s="41" t="s">
        <v>297</v>
      </c>
    </row>
    <row r="172" spans="1:28" x14ac:dyDescent="0.2">
      <c r="A172" s="91">
        <v>22</v>
      </c>
      <c r="B172" s="91" t="s">
        <v>153</v>
      </c>
      <c r="C172" s="92">
        <v>36762</v>
      </c>
      <c r="D172" s="41" t="s">
        <v>81</v>
      </c>
      <c r="E172" s="41" t="s">
        <v>14</v>
      </c>
      <c r="F172" s="41" t="s">
        <v>15</v>
      </c>
      <c r="G172" s="41" t="s">
        <v>33</v>
      </c>
      <c r="H172" s="93">
        <v>0</v>
      </c>
      <c r="I172" s="94">
        <f t="shared" si="50"/>
        <v>0</v>
      </c>
      <c r="J172" s="95">
        <v>36923</v>
      </c>
      <c r="K172" s="96">
        <f>+K171</f>
        <v>14000</v>
      </c>
      <c r="L172" s="97" t="s">
        <v>25</v>
      </c>
      <c r="M172" s="93" t="s">
        <v>76</v>
      </c>
      <c r="O172" s="62">
        <f t="shared" si="51"/>
        <v>70</v>
      </c>
      <c r="AA172" s="91" t="s">
        <v>201</v>
      </c>
      <c r="AB172" s="41" t="s">
        <v>297</v>
      </c>
    </row>
    <row r="174" spans="1:28" x14ac:dyDescent="0.2">
      <c r="A174" s="91">
        <v>23</v>
      </c>
      <c r="B174" s="91" t="s">
        <v>154</v>
      </c>
      <c r="C174" s="92">
        <v>36762</v>
      </c>
      <c r="D174" s="41" t="s">
        <v>82</v>
      </c>
      <c r="E174" s="41" t="s">
        <v>14</v>
      </c>
      <c r="F174" s="41" t="s">
        <v>15</v>
      </c>
      <c r="G174" s="41" t="s">
        <v>33</v>
      </c>
      <c r="H174" s="93">
        <v>0</v>
      </c>
      <c r="I174" s="94">
        <f t="shared" ref="I174:I179" si="52">+H174*K174</f>
        <v>0</v>
      </c>
      <c r="J174" s="95">
        <v>36770</v>
      </c>
      <c r="K174" s="96">
        <v>4000</v>
      </c>
      <c r="L174" s="97" t="s">
        <v>25</v>
      </c>
      <c r="M174" s="93" t="s">
        <v>76</v>
      </c>
      <c r="O174" s="62">
        <f t="shared" ref="O174:O179" si="53">0.005*K174</f>
        <v>20</v>
      </c>
      <c r="Q174" s="100">
        <v>4.45</v>
      </c>
      <c r="T174" s="62">
        <v>0</v>
      </c>
      <c r="Y174" s="41" t="s">
        <v>210</v>
      </c>
      <c r="AA174" s="91" t="s">
        <v>201</v>
      </c>
      <c r="AB174" s="41" t="s">
        <v>297</v>
      </c>
    </row>
    <row r="175" spans="1:28" x14ac:dyDescent="0.2">
      <c r="A175" s="91">
        <v>23</v>
      </c>
      <c r="B175" s="91" t="s">
        <v>154</v>
      </c>
      <c r="C175" s="92">
        <v>36762</v>
      </c>
      <c r="D175" s="41" t="s">
        <v>82</v>
      </c>
      <c r="E175" s="41" t="s">
        <v>14</v>
      </c>
      <c r="F175" s="41" t="s">
        <v>15</v>
      </c>
      <c r="G175" s="41" t="s">
        <v>33</v>
      </c>
      <c r="H175" s="93">
        <v>0</v>
      </c>
      <c r="I175" s="94">
        <f t="shared" si="52"/>
        <v>0</v>
      </c>
      <c r="J175" s="95">
        <v>36800</v>
      </c>
      <c r="K175" s="96">
        <f>+K174</f>
        <v>4000</v>
      </c>
      <c r="L175" s="97" t="s">
        <v>25</v>
      </c>
      <c r="M175" s="93" t="s">
        <v>76</v>
      </c>
      <c r="O175" s="62">
        <f t="shared" si="53"/>
        <v>20</v>
      </c>
      <c r="Q175" s="100">
        <v>5.1050000000000004</v>
      </c>
      <c r="T175" s="62">
        <v>0</v>
      </c>
      <c r="AA175" s="91" t="s">
        <v>201</v>
      </c>
      <c r="AB175" s="41" t="s">
        <v>297</v>
      </c>
    </row>
    <row r="176" spans="1:28" x14ac:dyDescent="0.2">
      <c r="A176" s="91">
        <v>23</v>
      </c>
      <c r="B176" s="91" t="s">
        <v>154</v>
      </c>
      <c r="C176" s="92">
        <v>36762</v>
      </c>
      <c r="D176" s="41" t="s">
        <v>82</v>
      </c>
      <c r="E176" s="41" t="s">
        <v>14</v>
      </c>
      <c r="F176" s="41" t="s">
        <v>15</v>
      </c>
      <c r="G176" s="41" t="s">
        <v>33</v>
      </c>
      <c r="H176" s="93">
        <v>0</v>
      </c>
      <c r="I176" s="94">
        <f t="shared" si="52"/>
        <v>0</v>
      </c>
      <c r="J176" s="95">
        <v>36831</v>
      </c>
      <c r="K176" s="96">
        <f>+K175</f>
        <v>4000</v>
      </c>
      <c r="L176" s="97" t="s">
        <v>25</v>
      </c>
      <c r="M176" s="93" t="s">
        <v>76</v>
      </c>
      <c r="O176" s="62">
        <f t="shared" si="53"/>
        <v>20</v>
      </c>
      <c r="Q176" s="100">
        <v>4.3099999999999996</v>
      </c>
      <c r="T176" s="62">
        <v>0</v>
      </c>
      <c r="AA176" s="91" t="s">
        <v>201</v>
      </c>
      <c r="AB176" s="41" t="s">
        <v>297</v>
      </c>
    </row>
    <row r="177" spans="1:28" x14ac:dyDescent="0.2">
      <c r="A177" s="91">
        <v>23</v>
      </c>
      <c r="B177" s="91" t="s">
        <v>154</v>
      </c>
      <c r="C177" s="92">
        <v>36762</v>
      </c>
      <c r="D177" s="41" t="s">
        <v>82</v>
      </c>
      <c r="E177" s="41" t="s">
        <v>14</v>
      </c>
      <c r="F177" s="41" t="s">
        <v>15</v>
      </c>
      <c r="G177" s="41" t="s">
        <v>33</v>
      </c>
      <c r="H177" s="93">
        <v>0</v>
      </c>
      <c r="I177" s="94">
        <f t="shared" si="52"/>
        <v>0</v>
      </c>
      <c r="J177" s="95">
        <v>36861</v>
      </c>
      <c r="K177" s="96">
        <f>+K176</f>
        <v>4000</v>
      </c>
      <c r="L177" s="97" t="s">
        <v>25</v>
      </c>
      <c r="M177" s="93" t="s">
        <v>76</v>
      </c>
      <c r="O177" s="62">
        <f t="shared" si="53"/>
        <v>20</v>
      </c>
      <c r="Q177" s="100">
        <v>5.7750000000000004</v>
      </c>
      <c r="T177" s="62">
        <f>(5.2-Q177)*K177</f>
        <v>-2300.0000000000009</v>
      </c>
      <c r="AA177" s="91" t="s">
        <v>201</v>
      </c>
      <c r="AB177" s="41" t="s">
        <v>297</v>
      </c>
    </row>
    <row r="178" spans="1:28" x14ac:dyDescent="0.2">
      <c r="A178" s="91">
        <v>23</v>
      </c>
      <c r="B178" s="91" t="s">
        <v>154</v>
      </c>
      <c r="C178" s="92">
        <v>36762</v>
      </c>
      <c r="D178" s="41" t="s">
        <v>82</v>
      </c>
      <c r="E178" s="41" t="s">
        <v>14</v>
      </c>
      <c r="F178" s="41" t="s">
        <v>15</v>
      </c>
      <c r="G178" s="41" t="s">
        <v>33</v>
      </c>
      <c r="H178" s="93">
        <v>0</v>
      </c>
      <c r="I178" s="94">
        <f t="shared" si="52"/>
        <v>0</v>
      </c>
      <c r="J178" s="95">
        <v>36892</v>
      </c>
      <c r="K178" s="96">
        <f>+K177</f>
        <v>4000</v>
      </c>
      <c r="L178" s="97" t="s">
        <v>25</v>
      </c>
      <c r="M178" s="93" t="s">
        <v>76</v>
      </c>
      <c r="O178" s="62">
        <f t="shared" si="53"/>
        <v>20</v>
      </c>
      <c r="Q178" s="100">
        <v>9.5649999999999995</v>
      </c>
      <c r="T178" s="62">
        <f>(5.2-Q178)*K178</f>
        <v>-17459.999999999996</v>
      </c>
      <c r="AA178" s="91" t="s">
        <v>201</v>
      </c>
      <c r="AB178" s="41" t="s">
        <v>297</v>
      </c>
    </row>
    <row r="179" spans="1:28" x14ac:dyDescent="0.2">
      <c r="A179" s="91">
        <v>23</v>
      </c>
      <c r="B179" s="91" t="s">
        <v>154</v>
      </c>
      <c r="C179" s="92">
        <v>36762</v>
      </c>
      <c r="D179" s="41" t="s">
        <v>82</v>
      </c>
      <c r="E179" s="41" t="s">
        <v>14</v>
      </c>
      <c r="F179" s="41" t="s">
        <v>15</v>
      </c>
      <c r="G179" s="41" t="s">
        <v>33</v>
      </c>
      <c r="H179" s="93">
        <v>0</v>
      </c>
      <c r="I179" s="94">
        <f t="shared" si="52"/>
        <v>0</v>
      </c>
      <c r="J179" s="95">
        <v>36923</v>
      </c>
      <c r="K179" s="96">
        <f>+K178</f>
        <v>4000</v>
      </c>
      <c r="L179" s="97" t="s">
        <v>25</v>
      </c>
      <c r="M179" s="93" t="s">
        <v>76</v>
      </c>
      <c r="O179" s="62">
        <f t="shared" si="53"/>
        <v>20</v>
      </c>
      <c r="AA179" s="91" t="s">
        <v>201</v>
      </c>
      <c r="AB179" s="41" t="s">
        <v>297</v>
      </c>
    </row>
    <row r="181" spans="1:28" x14ac:dyDescent="0.2">
      <c r="A181" s="91">
        <v>24</v>
      </c>
      <c r="B181" s="91" t="s">
        <v>155</v>
      </c>
      <c r="C181" s="92">
        <v>36762</v>
      </c>
      <c r="D181" s="41" t="s">
        <v>83</v>
      </c>
      <c r="E181" s="41" t="s">
        <v>14</v>
      </c>
      <c r="F181" s="41" t="s">
        <v>15</v>
      </c>
      <c r="G181" s="41" t="s">
        <v>33</v>
      </c>
      <c r="H181" s="93">
        <v>0</v>
      </c>
      <c r="I181" s="94">
        <f t="shared" ref="I181:I186" si="54">+H181*K181</f>
        <v>0</v>
      </c>
      <c r="J181" s="95">
        <v>36770</v>
      </c>
      <c r="K181" s="96">
        <v>10000</v>
      </c>
      <c r="L181" s="97" t="s">
        <v>25</v>
      </c>
      <c r="M181" s="93" t="s">
        <v>76</v>
      </c>
      <c r="O181" s="62">
        <f t="shared" ref="O181:O186" si="55">0.005*K181</f>
        <v>50</v>
      </c>
      <c r="Q181" s="100">
        <v>4.45</v>
      </c>
      <c r="T181" s="62">
        <v>0</v>
      </c>
      <c r="Y181" s="41" t="s">
        <v>210</v>
      </c>
      <c r="AA181" s="91" t="s">
        <v>201</v>
      </c>
      <c r="AB181" s="41" t="s">
        <v>297</v>
      </c>
    </row>
    <row r="182" spans="1:28" x14ac:dyDescent="0.2">
      <c r="A182" s="91">
        <v>24</v>
      </c>
      <c r="B182" s="91" t="s">
        <v>155</v>
      </c>
      <c r="C182" s="92">
        <v>36762</v>
      </c>
      <c r="D182" s="41" t="s">
        <v>83</v>
      </c>
      <c r="E182" s="41" t="s">
        <v>14</v>
      </c>
      <c r="F182" s="41" t="s">
        <v>15</v>
      </c>
      <c r="G182" s="41" t="s">
        <v>33</v>
      </c>
      <c r="H182" s="93">
        <v>0</v>
      </c>
      <c r="I182" s="94">
        <f t="shared" si="54"/>
        <v>0</v>
      </c>
      <c r="J182" s="95">
        <v>36800</v>
      </c>
      <c r="K182" s="96">
        <f>+K181</f>
        <v>10000</v>
      </c>
      <c r="L182" s="97" t="s">
        <v>25</v>
      </c>
      <c r="M182" s="93" t="s">
        <v>76</v>
      </c>
      <c r="O182" s="62">
        <f t="shared" si="55"/>
        <v>50</v>
      </c>
      <c r="Q182" s="100">
        <v>5.1050000000000004</v>
      </c>
      <c r="T182" s="62">
        <v>0</v>
      </c>
      <c r="AA182" s="91" t="s">
        <v>201</v>
      </c>
      <c r="AB182" s="41" t="s">
        <v>297</v>
      </c>
    </row>
    <row r="183" spans="1:28" x14ac:dyDescent="0.2">
      <c r="A183" s="91">
        <v>24</v>
      </c>
      <c r="B183" s="91" t="s">
        <v>155</v>
      </c>
      <c r="C183" s="92">
        <v>36762</v>
      </c>
      <c r="D183" s="41" t="s">
        <v>83</v>
      </c>
      <c r="E183" s="41" t="s">
        <v>14</v>
      </c>
      <c r="F183" s="41" t="s">
        <v>15</v>
      </c>
      <c r="G183" s="41" t="s">
        <v>33</v>
      </c>
      <c r="H183" s="93">
        <v>0</v>
      </c>
      <c r="I183" s="94">
        <f t="shared" si="54"/>
        <v>0</v>
      </c>
      <c r="J183" s="95">
        <v>36831</v>
      </c>
      <c r="K183" s="96">
        <f>+K182</f>
        <v>10000</v>
      </c>
      <c r="L183" s="97" t="s">
        <v>25</v>
      </c>
      <c r="M183" s="93" t="s">
        <v>76</v>
      </c>
      <c r="O183" s="62">
        <f t="shared" si="55"/>
        <v>50</v>
      </c>
      <c r="Q183" s="100">
        <v>4.3099999999999996</v>
      </c>
      <c r="T183" s="62">
        <v>0</v>
      </c>
      <c r="AA183" s="91" t="s">
        <v>201</v>
      </c>
      <c r="AB183" s="41" t="s">
        <v>297</v>
      </c>
    </row>
    <row r="184" spans="1:28" x14ac:dyDescent="0.2">
      <c r="A184" s="91">
        <v>24</v>
      </c>
      <c r="B184" s="91" t="s">
        <v>155</v>
      </c>
      <c r="C184" s="92">
        <v>36762</v>
      </c>
      <c r="D184" s="41" t="s">
        <v>83</v>
      </c>
      <c r="E184" s="41" t="s">
        <v>14</v>
      </c>
      <c r="F184" s="41" t="s">
        <v>15</v>
      </c>
      <c r="G184" s="41" t="s">
        <v>33</v>
      </c>
      <c r="H184" s="93">
        <v>0</v>
      </c>
      <c r="I184" s="94">
        <f t="shared" si="54"/>
        <v>0</v>
      </c>
      <c r="J184" s="95">
        <v>36861</v>
      </c>
      <c r="K184" s="96">
        <f>+K183</f>
        <v>10000</v>
      </c>
      <c r="L184" s="97" t="s">
        <v>25</v>
      </c>
      <c r="M184" s="93" t="s">
        <v>76</v>
      </c>
      <c r="O184" s="62">
        <f t="shared" si="55"/>
        <v>50</v>
      </c>
      <c r="Q184" s="100">
        <v>5.7750000000000004</v>
      </c>
      <c r="T184" s="62">
        <f>(5.2-Q184)*K184</f>
        <v>-5750.0000000000018</v>
      </c>
      <c r="AA184" s="91" t="s">
        <v>201</v>
      </c>
      <c r="AB184" s="41" t="s">
        <v>297</v>
      </c>
    </row>
    <row r="185" spans="1:28" x14ac:dyDescent="0.2">
      <c r="A185" s="91">
        <v>24</v>
      </c>
      <c r="B185" s="91" t="s">
        <v>155</v>
      </c>
      <c r="C185" s="92">
        <v>36762</v>
      </c>
      <c r="D185" s="41" t="s">
        <v>83</v>
      </c>
      <c r="E185" s="41" t="s">
        <v>14</v>
      </c>
      <c r="F185" s="41" t="s">
        <v>15</v>
      </c>
      <c r="G185" s="41" t="s">
        <v>33</v>
      </c>
      <c r="H185" s="93">
        <v>0</v>
      </c>
      <c r="I185" s="94">
        <f t="shared" si="54"/>
        <v>0</v>
      </c>
      <c r="J185" s="95">
        <v>36892</v>
      </c>
      <c r="K185" s="96">
        <f>+K184</f>
        <v>10000</v>
      </c>
      <c r="L185" s="97" t="s">
        <v>25</v>
      </c>
      <c r="M185" s="93" t="s">
        <v>76</v>
      </c>
      <c r="O185" s="62">
        <f t="shared" si="55"/>
        <v>50</v>
      </c>
      <c r="Q185" s="100">
        <v>9.5649999999999995</v>
      </c>
      <c r="T185" s="62">
        <f>(5.2-Q185)*K185</f>
        <v>-43649.999999999993</v>
      </c>
      <c r="AA185" s="91" t="s">
        <v>201</v>
      </c>
      <c r="AB185" s="41" t="s">
        <v>297</v>
      </c>
    </row>
    <row r="186" spans="1:28" x14ac:dyDescent="0.2">
      <c r="A186" s="91">
        <v>24</v>
      </c>
      <c r="B186" s="91" t="s">
        <v>155</v>
      </c>
      <c r="C186" s="92">
        <v>36762</v>
      </c>
      <c r="D186" s="41" t="s">
        <v>83</v>
      </c>
      <c r="E186" s="41" t="s">
        <v>14</v>
      </c>
      <c r="F186" s="41" t="s">
        <v>15</v>
      </c>
      <c r="G186" s="41" t="s">
        <v>33</v>
      </c>
      <c r="H186" s="93">
        <v>0</v>
      </c>
      <c r="I186" s="94">
        <f t="shared" si="54"/>
        <v>0</v>
      </c>
      <c r="J186" s="95">
        <v>36923</v>
      </c>
      <c r="K186" s="96">
        <f>+K185</f>
        <v>10000</v>
      </c>
      <c r="L186" s="97" t="s">
        <v>25</v>
      </c>
      <c r="M186" s="93" t="s">
        <v>76</v>
      </c>
      <c r="O186" s="62">
        <f t="shared" si="55"/>
        <v>50</v>
      </c>
      <c r="AA186" s="91" t="s">
        <v>201</v>
      </c>
      <c r="AB186" s="41" t="s">
        <v>297</v>
      </c>
    </row>
    <row r="188" spans="1:28" x14ac:dyDescent="0.2">
      <c r="A188" s="91">
        <v>25</v>
      </c>
      <c r="B188" s="91" t="s">
        <v>156</v>
      </c>
      <c r="C188" s="92">
        <v>36762</v>
      </c>
      <c r="D188" s="41" t="s">
        <v>84</v>
      </c>
      <c r="E188" s="41" t="s">
        <v>14</v>
      </c>
      <c r="F188" s="41" t="s">
        <v>15</v>
      </c>
      <c r="G188" s="41" t="s">
        <v>33</v>
      </c>
      <c r="H188" s="93">
        <v>0</v>
      </c>
      <c r="I188" s="94">
        <f t="shared" ref="I188:I193" si="56">+H188*K188</f>
        <v>0</v>
      </c>
      <c r="J188" s="95">
        <v>36770</v>
      </c>
      <c r="K188" s="96">
        <v>7000</v>
      </c>
      <c r="L188" s="97" t="s">
        <v>25</v>
      </c>
      <c r="M188" s="93" t="s">
        <v>76</v>
      </c>
      <c r="O188" s="62">
        <f t="shared" ref="O188:O193" si="57">0.005*K188</f>
        <v>35</v>
      </c>
      <c r="Q188" s="100">
        <v>4.45</v>
      </c>
      <c r="T188" s="62">
        <v>0</v>
      </c>
      <c r="Y188" s="41" t="s">
        <v>210</v>
      </c>
      <c r="AA188" s="91" t="s">
        <v>201</v>
      </c>
      <c r="AB188" s="41" t="s">
        <v>297</v>
      </c>
    </row>
    <row r="189" spans="1:28" x14ac:dyDescent="0.2">
      <c r="A189" s="91">
        <v>25</v>
      </c>
      <c r="B189" s="91" t="s">
        <v>156</v>
      </c>
      <c r="C189" s="92">
        <v>36762</v>
      </c>
      <c r="D189" s="41" t="s">
        <v>84</v>
      </c>
      <c r="E189" s="41" t="s">
        <v>14</v>
      </c>
      <c r="F189" s="41" t="s">
        <v>15</v>
      </c>
      <c r="G189" s="41" t="s">
        <v>33</v>
      </c>
      <c r="H189" s="93">
        <v>0</v>
      </c>
      <c r="I189" s="94">
        <f t="shared" si="56"/>
        <v>0</v>
      </c>
      <c r="J189" s="95">
        <v>36800</v>
      </c>
      <c r="K189" s="96">
        <f>+K188</f>
        <v>7000</v>
      </c>
      <c r="L189" s="97" t="s">
        <v>25</v>
      </c>
      <c r="M189" s="93" t="s">
        <v>76</v>
      </c>
      <c r="O189" s="62">
        <f t="shared" si="57"/>
        <v>35</v>
      </c>
      <c r="Q189" s="100">
        <v>5.1050000000000004</v>
      </c>
      <c r="T189" s="62">
        <v>0</v>
      </c>
      <c r="AA189" s="91" t="s">
        <v>201</v>
      </c>
      <c r="AB189" s="41" t="s">
        <v>297</v>
      </c>
    </row>
    <row r="190" spans="1:28" x14ac:dyDescent="0.2">
      <c r="A190" s="91">
        <v>25</v>
      </c>
      <c r="B190" s="91" t="s">
        <v>156</v>
      </c>
      <c r="C190" s="92">
        <v>36762</v>
      </c>
      <c r="D190" s="41" t="s">
        <v>84</v>
      </c>
      <c r="E190" s="41" t="s">
        <v>14</v>
      </c>
      <c r="F190" s="41" t="s">
        <v>15</v>
      </c>
      <c r="G190" s="41" t="s">
        <v>33</v>
      </c>
      <c r="H190" s="93">
        <v>0</v>
      </c>
      <c r="I190" s="94">
        <f t="shared" si="56"/>
        <v>0</v>
      </c>
      <c r="J190" s="95">
        <v>36831</v>
      </c>
      <c r="K190" s="96">
        <f>+K189</f>
        <v>7000</v>
      </c>
      <c r="L190" s="97" t="s">
        <v>25</v>
      </c>
      <c r="M190" s="93" t="s">
        <v>76</v>
      </c>
      <c r="O190" s="62">
        <f t="shared" si="57"/>
        <v>35</v>
      </c>
      <c r="Q190" s="100">
        <v>4.3099999999999996</v>
      </c>
      <c r="T190" s="62">
        <v>0</v>
      </c>
      <c r="AA190" s="91" t="s">
        <v>201</v>
      </c>
      <c r="AB190" s="41" t="s">
        <v>297</v>
      </c>
    </row>
    <row r="191" spans="1:28" x14ac:dyDescent="0.2">
      <c r="A191" s="91">
        <v>25</v>
      </c>
      <c r="B191" s="91" t="s">
        <v>156</v>
      </c>
      <c r="C191" s="92">
        <v>36762</v>
      </c>
      <c r="D191" s="41" t="s">
        <v>84</v>
      </c>
      <c r="E191" s="41" t="s">
        <v>14</v>
      </c>
      <c r="F191" s="41" t="s">
        <v>15</v>
      </c>
      <c r="G191" s="41" t="s">
        <v>33</v>
      </c>
      <c r="H191" s="93">
        <v>0</v>
      </c>
      <c r="I191" s="94">
        <f t="shared" si="56"/>
        <v>0</v>
      </c>
      <c r="J191" s="95">
        <v>36861</v>
      </c>
      <c r="K191" s="96">
        <f>+K190</f>
        <v>7000</v>
      </c>
      <c r="L191" s="97" t="s">
        <v>25</v>
      </c>
      <c r="M191" s="93" t="s">
        <v>76</v>
      </c>
      <c r="O191" s="62">
        <f t="shared" si="57"/>
        <v>35</v>
      </c>
      <c r="Q191" s="100">
        <v>5.7750000000000004</v>
      </c>
      <c r="T191" s="62">
        <f>(5.2-Q191)*K191</f>
        <v>-4025.0000000000014</v>
      </c>
      <c r="AA191" s="91" t="s">
        <v>201</v>
      </c>
      <c r="AB191" s="41" t="s">
        <v>297</v>
      </c>
    </row>
    <row r="192" spans="1:28" x14ac:dyDescent="0.2">
      <c r="A192" s="91">
        <v>25</v>
      </c>
      <c r="B192" s="91" t="s">
        <v>156</v>
      </c>
      <c r="C192" s="92">
        <v>36762</v>
      </c>
      <c r="D192" s="41" t="s">
        <v>84</v>
      </c>
      <c r="E192" s="41" t="s">
        <v>14</v>
      </c>
      <c r="F192" s="41" t="s">
        <v>15</v>
      </c>
      <c r="G192" s="41" t="s">
        <v>33</v>
      </c>
      <c r="H192" s="93">
        <v>0</v>
      </c>
      <c r="I192" s="94">
        <f t="shared" si="56"/>
        <v>0</v>
      </c>
      <c r="J192" s="95">
        <v>36892</v>
      </c>
      <c r="K192" s="96">
        <f>+K191</f>
        <v>7000</v>
      </c>
      <c r="L192" s="97" t="s">
        <v>25</v>
      </c>
      <c r="M192" s="93" t="s">
        <v>76</v>
      </c>
      <c r="O192" s="62">
        <f t="shared" si="57"/>
        <v>35</v>
      </c>
      <c r="Q192" s="100">
        <v>9.5649999999999995</v>
      </c>
      <c r="T192" s="62">
        <f>(5.2-Q192)*K192</f>
        <v>-30554.999999999996</v>
      </c>
      <c r="AA192" s="91" t="s">
        <v>201</v>
      </c>
      <c r="AB192" s="41" t="s">
        <v>297</v>
      </c>
    </row>
    <row r="193" spans="1:28" x14ac:dyDescent="0.2">
      <c r="A193" s="91">
        <v>25</v>
      </c>
      <c r="B193" s="91" t="s">
        <v>156</v>
      </c>
      <c r="C193" s="92">
        <v>36762</v>
      </c>
      <c r="D193" s="41" t="s">
        <v>84</v>
      </c>
      <c r="E193" s="41" t="s">
        <v>14</v>
      </c>
      <c r="F193" s="41" t="s">
        <v>15</v>
      </c>
      <c r="G193" s="41" t="s">
        <v>33</v>
      </c>
      <c r="H193" s="93">
        <v>0</v>
      </c>
      <c r="I193" s="94">
        <f t="shared" si="56"/>
        <v>0</v>
      </c>
      <c r="J193" s="95">
        <v>36923</v>
      </c>
      <c r="K193" s="96">
        <f>+K192</f>
        <v>7000</v>
      </c>
      <c r="L193" s="97" t="s">
        <v>25</v>
      </c>
      <c r="M193" s="93" t="s">
        <v>76</v>
      </c>
      <c r="O193" s="62">
        <f t="shared" si="57"/>
        <v>35</v>
      </c>
      <c r="AA193" s="91" t="s">
        <v>201</v>
      </c>
      <c r="AB193" s="41" t="s">
        <v>297</v>
      </c>
    </row>
    <row r="195" spans="1:28" x14ac:dyDescent="0.2">
      <c r="A195" s="91">
        <v>26</v>
      </c>
      <c r="B195" s="91" t="s">
        <v>157</v>
      </c>
      <c r="C195" s="92">
        <v>36762</v>
      </c>
      <c r="D195" s="41" t="s">
        <v>85</v>
      </c>
      <c r="E195" s="41" t="s">
        <v>14</v>
      </c>
      <c r="F195" s="41" t="s">
        <v>15</v>
      </c>
      <c r="G195" s="41" t="s">
        <v>33</v>
      </c>
      <c r="H195" s="93">
        <v>0</v>
      </c>
      <c r="I195" s="94">
        <f t="shared" ref="I195:I200" si="58">+H195*K195</f>
        <v>0</v>
      </c>
      <c r="J195" s="95">
        <v>36770</v>
      </c>
      <c r="K195" s="96">
        <v>6000</v>
      </c>
      <c r="L195" s="97" t="s">
        <v>25</v>
      </c>
      <c r="M195" s="93" t="s">
        <v>76</v>
      </c>
      <c r="O195" s="62">
        <f t="shared" ref="O195:O200" si="59">0.005*K195</f>
        <v>30</v>
      </c>
      <c r="Q195" s="100">
        <v>4.45</v>
      </c>
      <c r="T195" s="62">
        <v>0</v>
      </c>
      <c r="Y195" s="41" t="s">
        <v>210</v>
      </c>
      <c r="AA195" s="91" t="s">
        <v>201</v>
      </c>
      <c r="AB195" s="41" t="s">
        <v>297</v>
      </c>
    </row>
    <row r="196" spans="1:28" x14ac:dyDescent="0.2">
      <c r="A196" s="91">
        <v>26</v>
      </c>
      <c r="B196" s="91" t="s">
        <v>157</v>
      </c>
      <c r="C196" s="92">
        <v>36762</v>
      </c>
      <c r="D196" s="41" t="s">
        <v>85</v>
      </c>
      <c r="E196" s="41" t="s">
        <v>14</v>
      </c>
      <c r="F196" s="41" t="s">
        <v>15</v>
      </c>
      <c r="G196" s="41" t="s">
        <v>33</v>
      </c>
      <c r="H196" s="93">
        <v>0</v>
      </c>
      <c r="I196" s="94">
        <f t="shared" si="58"/>
        <v>0</v>
      </c>
      <c r="J196" s="95">
        <v>36800</v>
      </c>
      <c r="K196" s="96">
        <f>+K195</f>
        <v>6000</v>
      </c>
      <c r="L196" s="97" t="s">
        <v>25</v>
      </c>
      <c r="M196" s="93" t="s">
        <v>76</v>
      </c>
      <c r="O196" s="62">
        <f t="shared" si="59"/>
        <v>30</v>
      </c>
      <c r="Q196" s="100">
        <v>5.1050000000000004</v>
      </c>
      <c r="T196" s="62">
        <v>0</v>
      </c>
      <c r="AA196" s="91" t="s">
        <v>201</v>
      </c>
      <c r="AB196" s="41" t="s">
        <v>297</v>
      </c>
    </row>
    <row r="197" spans="1:28" x14ac:dyDescent="0.2">
      <c r="A197" s="91">
        <v>26</v>
      </c>
      <c r="B197" s="91" t="s">
        <v>157</v>
      </c>
      <c r="C197" s="92">
        <v>36762</v>
      </c>
      <c r="D197" s="41" t="s">
        <v>85</v>
      </c>
      <c r="E197" s="41" t="s">
        <v>14</v>
      </c>
      <c r="F197" s="41" t="s">
        <v>15</v>
      </c>
      <c r="G197" s="41" t="s">
        <v>33</v>
      </c>
      <c r="H197" s="93">
        <v>0</v>
      </c>
      <c r="I197" s="94">
        <f t="shared" si="58"/>
        <v>0</v>
      </c>
      <c r="J197" s="95">
        <v>36831</v>
      </c>
      <c r="K197" s="96">
        <f>+K196</f>
        <v>6000</v>
      </c>
      <c r="L197" s="97" t="s">
        <v>25</v>
      </c>
      <c r="M197" s="93" t="s">
        <v>76</v>
      </c>
      <c r="O197" s="62">
        <f t="shared" si="59"/>
        <v>30</v>
      </c>
      <c r="Q197" s="100">
        <v>4.3099999999999996</v>
      </c>
      <c r="T197" s="62">
        <v>0</v>
      </c>
      <c r="AA197" s="91" t="s">
        <v>201</v>
      </c>
      <c r="AB197" s="41" t="s">
        <v>297</v>
      </c>
    </row>
    <row r="198" spans="1:28" x14ac:dyDescent="0.2">
      <c r="A198" s="91">
        <v>26</v>
      </c>
      <c r="B198" s="91" t="s">
        <v>157</v>
      </c>
      <c r="C198" s="92">
        <v>36762</v>
      </c>
      <c r="D198" s="41" t="s">
        <v>85</v>
      </c>
      <c r="E198" s="41" t="s">
        <v>14</v>
      </c>
      <c r="F198" s="41" t="s">
        <v>15</v>
      </c>
      <c r="G198" s="41" t="s">
        <v>33</v>
      </c>
      <c r="H198" s="93">
        <v>0</v>
      </c>
      <c r="I198" s="94">
        <f t="shared" si="58"/>
        <v>0</v>
      </c>
      <c r="J198" s="95">
        <v>36861</v>
      </c>
      <c r="K198" s="96">
        <f>+K197</f>
        <v>6000</v>
      </c>
      <c r="L198" s="97" t="s">
        <v>25</v>
      </c>
      <c r="M198" s="93" t="s">
        <v>76</v>
      </c>
      <c r="O198" s="62">
        <f t="shared" si="59"/>
        <v>30</v>
      </c>
      <c r="Q198" s="100">
        <v>5.7750000000000004</v>
      </c>
      <c r="T198" s="62">
        <f>(5.2-Q198)*K198</f>
        <v>-3450.0000000000009</v>
      </c>
      <c r="AA198" s="91" t="s">
        <v>201</v>
      </c>
      <c r="AB198" s="41" t="s">
        <v>297</v>
      </c>
    </row>
    <row r="199" spans="1:28" x14ac:dyDescent="0.2">
      <c r="A199" s="91">
        <v>26</v>
      </c>
      <c r="B199" s="91" t="s">
        <v>157</v>
      </c>
      <c r="C199" s="92">
        <v>36762</v>
      </c>
      <c r="D199" s="41" t="s">
        <v>85</v>
      </c>
      <c r="E199" s="41" t="s">
        <v>14</v>
      </c>
      <c r="F199" s="41" t="s">
        <v>15</v>
      </c>
      <c r="G199" s="41" t="s">
        <v>33</v>
      </c>
      <c r="H199" s="93">
        <v>0</v>
      </c>
      <c r="I199" s="94">
        <f t="shared" si="58"/>
        <v>0</v>
      </c>
      <c r="J199" s="95">
        <v>36892</v>
      </c>
      <c r="K199" s="96">
        <f>+K198</f>
        <v>6000</v>
      </c>
      <c r="L199" s="97" t="s">
        <v>25</v>
      </c>
      <c r="M199" s="93" t="s">
        <v>76</v>
      </c>
      <c r="O199" s="62">
        <f t="shared" si="59"/>
        <v>30</v>
      </c>
      <c r="Q199" s="100">
        <v>9.5649999999999995</v>
      </c>
      <c r="T199" s="62">
        <f>(5.2-Q199)*K199</f>
        <v>-26189.999999999996</v>
      </c>
      <c r="AA199" s="91" t="s">
        <v>201</v>
      </c>
      <c r="AB199" s="41" t="s">
        <v>297</v>
      </c>
    </row>
    <row r="200" spans="1:28" x14ac:dyDescent="0.2">
      <c r="A200" s="91">
        <v>26</v>
      </c>
      <c r="B200" s="91" t="s">
        <v>157</v>
      </c>
      <c r="C200" s="92">
        <v>36762</v>
      </c>
      <c r="D200" s="41" t="s">
        <v>85</v>
      </c>
      <c r="E200" s="41" t="s">
        <v>14</v>
      </c>
      <c r="F200" s="41" t="s">
        <v>15</v>
      </c>
      <c r="G200" s="41" t="s">
        <v>33</v>
      </c>
      <c r="H200" s="93">
        <v>0</v>
      </c>
      <c r="I200" s="94">
        <f t="shared" si="58"/>
        <v>0</v>
      </c>
      <c r="J200" s="95">
        <v>36923</v>
      </c>
      <c r="K200" s="96">
        <f>+K199</f>
        <v>6000</v>
      </c>
      <c r="L200" s="97" t="s">
        <v>25</v>
      </c>
      <c r="M200" s="93" t="s">
        <v>76</v>
      </c>
      <c r="O200" s="62">
        <f t="shared" si="59"/>
        <v>30</v>
      </c>
      <c r="AA200" s="91" t="s">
        <v>201</v>
      </c>
      <c r="AB200" s="41" t="s">
        <v>297</v>
      </c>
    </row>
    <row r="202" spans="1:28" x14ac:dyDescent="0.2">
      <c r="A202" s="91">
        <v>27</v>
      </c>
      <c r="B202" s="91" t="s">
        <v>158</v>
      </c>
      <c r="C202" s="92">
        <v>36762</v>
      </c>
      <c r="D202" s="41" t="s">
        <v>86</v>
      </c>
      <c r="E202" s="41" t="s">
        <v>14</v>
      </c>
      <c r="F202" s="41" t="s">
        <v>15</v>
      </c>
      <c r="G202" s="41" t="s">
        <v>33</v>
      </c>
      <c r="H202" s="93">
        <v>0</v>
      </c>
      <c r="I202" s="94">
        <f t="shared" ref="I202:I207" si="60">+H202*K202</f>
        <v>0</v>
      </c>
      <c r="J202" s="95">
        <v>36770</v>
      </c>
      <c r="K202" s="96">
        <v>13000</v>
      </c>
      <c r="L202" s="97" t="s">
        <v>25</v>
      </c>
      <c r="M202" s="93" t="s">
        <v>76</v>
      </c>
      <c r="O202" s="62">
        <f t="shared" ref="O202:O207" si="61">0.005*K202</f>
        <v>65</v>
      </c>
      <c r="Q202" s="100">
        <v>4.45</v>
      </c>
      <c r="T202" s="62">
        <v>0</v>
      </c>
      <c r="Y202" s="41" t="s">
        <v>210</v>
      </c>
      <c r="AA202" s="91" t="s">
        <v>201</v>
      </c>
      <c r="AB202" s="41" t="s">
        <v>297</v>
      </c>
    </row>
    <row r="203" spans="1:28" x14ac:dyDescent="0.2">
      <c r="A203" s="91">
        <v>27</v>
      </c>
      <c r="B203" s="91" t="s">
        <v>158</v>
      </c>
      <c r="C203" s="92">
        <v>36762</v>
      </c>
      <c r="D203" s="41" t="s">
        <v>86</v>
      </c>
      <c r="E203" s="41" t="s">
        <v>14</v>
      </c>
      <c r="F203" s="41" t="s">
        <v>15</v>
      </c>
      <c r="G203" s="41" t="s">
        <v>33</v>
      </c>
      <c r="H203" s="93">
        <v>0</v>
      </c>
      <c r="I203" s="94">
        <f t="shared" si="60"/>
        <v>0</v>
      </c>
      <c r="J203" s="95">
        <v>36800</v>
      </c>
      <c r="K203" s="96">
        <f>+K202</f>
        <v>13000</v>
      </c>
      <c r="L203" s="97" t="s">
        <v>25</v>
      </c>
      <c r="M203" s="93" t="s">
        <v>76</v>
      </c>
      <c r="O203" s="62">
        <f t="shared" si="61"/>
        <v>65</v>
      </c>
      <c r="Q203" s="100">
        <v>5.1050000000000004</v>
      </c>
      <c r="T203" s="62">
        <v>0</v>
      </c>
      <c r="AA203" s="91" t="s">
        <v>201</v>
      </c>
      <c r="AB203" s="41" t="s">
        <v>297</v>
      </c>
    </row>
    <row r="204" spans="1:28" x14ac:dyDescent="0.2">
      <c r="A204" s="91">
        <v>27</v>
      </c>
      <c r="B204" s="91" t="s">
        <v>158</v>
      </c>
      <c r="C204" s="92">
        <v>36762</v>
      </c>
      <c r="D204" s="41" t="s">
        <v>86</v>
      </c>
      <c r="E204" s="41" t="s">
        <v>14</v>
      </c>
      <c r="F204" s="41" t="s">
        <v>15</v>
      </c>
      <c r="G204" s="41" t="s">
        <v>33</v>
      </c>
      <c r="H204" s="93">
        <v>0</v>
      </c>
      <c r="I204" s="94">
        <f t="shared" si="60"/>
        <v>0</v>
      </c>
      <c r="J204" s="95">
        <v>36831</v>
      </c>
      <c r="K204" s="96">
        <f>+K203</f>
        <v>13000</v>
      </c>
      <c r="L204" s="97" t="s">
        <v>25</v>
      </c>
      <c r="M204" s="93" t="s">
        <v>76</v>
      </c>
      <c r="O204" s="62">
        <f t="shared" si="61"/>
        <v>65</v>
      </c>
      <c r="Q204" s="100">
        <v>4.3099999999999996</v>
      </c>
      <c r="T204" s="62">
        <v>0</v>
      </c>
      <c r="AA204" s="91" t="s">
        <v>201</v>
      </c>
      <c r="AB204" s="41" t="s">
        <v>297</v>
      </c>
    </row>
    <row r="205" spans="1:28" x14ac:dyDescent="0.2">
      <c r="A205" s="91">
        <v>27</v>
      </c>
      <c r="B205" s="91" t="s">
        <v>158</v>
      </c>
      <c r="C205" s="92">
        <v>36762</v>
      </c>
      <c r="D205" s="41" t="s">
        <v>86</v>
      </c>
      <c r="E205" s="41" t="s">
        <v>14</v>
      </c>
      <c r="F205" s="41" t="s">
        <v>15</v>
      </c>
      <c r="G205" s="41" t="s">
        <v>33</v>
      </c>
      <c r="H205" s="93">
        <v>0</v>
      </c>
      <c r="I205" s="94">
        <f t="shared" si="60"/>
        <v>0</v>
      </c>
      <c r="J205" s="95">
        <v>36861</v>
      </c>
      <c r="K205" s="96">
        <f>+K204</f>
        <v>13000</v>
      </c>
      <c r="L205" s="97" t="s">
        <v>25</v>
      </c>
      <c r="M205" s="93" t="s">
        <v>76</v>
      </c>
      <c r="O205" s="62">
        <f t="shared" si="61"/>
        <v>65</v>
      </c>
      <c r="Q205" s="100">
        <v>5.7750000000000004</v>
      </c>
      <c r="T205" s="62">
        <f>(5.2-Q205)*K205</f>
        <v>-7475.0000000000027</v>
      </c>
      <c r="AA205" s="91" t="s">
        <v>201</v>
      </c>
      <c r="AB205" s="41" t="s">
        <v>297</v>
      </c>
    </row>
    <row r="206" spans="1:28" x14ac:dyDescent="0.2">
      <c r="A206" s="91">
        <v>27</v>
      </c>
      <c r="B206" s="91" t="s">
        <v>158</v>
      </c>
      <c r="C206" s="92">
        <v>36762</v>
      </c>
      <c r="D206" s="41" t="s">
        <v>86</v>
      </c>
      <c r="E206" s="41" t="s">
        <v>14</v>
      </c>
      <c r="F206" s="41" t="s">
        <v>15</v>
      </c>
      <c r="G206" s="41" t="s">
        <v>33</v>
      </c>
      <c r="H206" s="93">
        <v>0</v>
      </c>
      <c r="I206" s="94">
        <f t="shared" si="60"/>
        <v>0</v>
      </c>
      <c r="J206" s="95">
        <v>36892</v>
      </c>
      <c r="K206" s="96">
        <f>+K205</f>
        <v>13000</v>
      </c>
      <c r="L206" s="97" t="s">
        <v>25</v>
      </c>
      <c r="M206" s="93" t="s">
        <v>76</v>
      </c>
      <c r="O206" s="62">
        <f t="shared" si="61"/>
        <v>65</v>
      </c>
      <c r="Q206" s="100">
        <v>9.5649999999999995</v>
      </c>
      <c r="T206" s="62">
        <f>(5.2-Q206)*K206</f>
        <v>-56744.999999999993</v>
      </c>
      <c r="AA206" s="91" t="s">
        <v>201</v>
      </c>
      <c r="AB206" s="41" t="s">
        <v>297</v>
      </c>
    </row>
    <row r="207" spans="1:28" x14ac:dyDescent="0.2">
      <c r="A207" s="91">
        <v>27</v>
      </c>
      <c r="B207" s="91" t="s">
        <v>158</v>
      </c>
      <c r="C207" s="92">
        <v>36762</v>
      </c>
      <c r="D207" s="41" t="s">
        <v>86</v>
      </c>
      <c r="E207" s="41" t="s">
        <v>14</v>
      </c>
      <c r="F207" s="41" t="s">
        <v>15</v>
      </c>
      <c r="G207" s="41" t="s">
        <v>33</v>
      </c>
      <c r="H207" s="93">
        <v>0</v>
      </c>
      <c r="I207" s="94">
        <f t="shared" si="60"/>
        <v>0</v>
      </c>
      <c r="J207" s="95">
        <v>36923</v>
      </c>
      <c r="K207" s="96">
        <f>+K206</f>
        <v>13000</v>
      </c>
      <c r="L207" s="97" t="s">
        <v>25</v>
      </c>
      <c r="M207" s="93" t="s">
        <v>76</v>
      </c>
      <c r="O207" s="62">
        <f t="shared" si="61"/>
        <v>65</v>
      </c>
      <c r="AA207" s="91" t="s">
        <v>201</v>
      </c>
      <c r="AB207" s="41" t="s">
        <v>297</v>
      </c>
    </row>
    <row r="209" spans="1:28" x14ac:dyDescent="0.2">
      <c r="A209" s="91">
        <v>28</v>
      </c>
      <c r="B209" s="91" t="s">
        <v>159</v>
      </c>
      <c r="C209" s="92">
        <v>36762</v>
      </c>
      <c r="D209" s="41" t="s">
        <v>87</v>
      </c>
      <c r="E209" s="41" t="s">
        <v>14</v>
      </c>
      <c r="F209" s="41" t="s">
        <v>15</v>
      </c>
      <c r="G209" s="41" t="s">
        <v>33</v>
      </c>
      <c r="H209" s="93">
        <v>0</v>
      </c>
      <c r="I209" s="94">
        <f t="shared" ref="I209:I214" si="62">+H209*K209</f>
        <v>0</v>
      </c>
      <c r="J209" s="95">
        <v>36770</v>
      </c>
      <c r="K209" s="96">
        <v>16000</v>
      </c>
      <c r="L209" s="97" t="s">
        <v>25</v>
      </c>
      <c r="M209" s="93" t="s">
        <v>76</v>
      </c>
      <c r="O209" s="62">
        <f t="shared" ref="O209:O214" si="63">0.005*K209</f>
        <v>80</v>
      </c>
      <c r="Q209" s="100">
        <v>4.45</v>
      </c>
      <c r="T209" s="62">
        <v>0</v>
      </c>
      <c r="Y209" s="41" t="s">
        <v>210</v>
      </c>
      <c r="AA209" s="91" t="s">
        <v>201</v>
      </c>
      <c r="AB209" s="41" t="s">
        <v>297</v>
      </c>
    </row>
    <row r="210" spans="1:28" x14ac:dyDescent="0.2">
      <c r="A210" s="91">
        <v>28</v>
      </c>
      <c r="B210" s="91" t="s">
        <v>159</v>
      </c>
      <c r="C210" s="92">
        <v>36762</v>
      </c>
      <c r="D210" s="41" t="s">
        <v>87</v>
      </c>
      <c r="E210" s="41" t="s">
        <v>14</v>
      </c>
      <c r="F210" s="41" t="s">
        <v>15</v>
      </c>
      <c r="G210" s="41" t="s">
        <v>33</v>
      </c>
      <c r="H210" s="93">
        <v>0</v>
      </c>
      <c r="I210" s="94">
        <f t="shared" si="62"/>
        <v>0</v>
      </c>
      <c r="J210" s="95">
        <v>36800</v>
      </c>
      <c r="K210" s="96">
        <f>+K209</f>
        <v>16000</v>
      </c>
      <c r="L210" s="97" t="s">
        <v>25</v>
      </c>
      <c r="M210" s="93" t="s">
        <v>76</v>
      </c>
      <c r="O210" s="62">
        <f t="shared" si="63"/>
        <v>80</v>
      </c>
      <c r="Q210" s="100">
        <v>5.1050000000000004</v>
      </c>
      <c r="T210" s="62">
        <v>0</v>
      </c>
      <c r="AA210" s="91" t="s">
        <v>201</v>
      </c>
      <c r="AB210" s="41" t="s">
        <v>297</v>
      </c>
    </row>
    <row r="211" spans="1:28" x14ac:dyDescent="0.2">
      <c r="A211" s="91">
        <v>28</v>
      </c>
      <c r="B211" s="91" t="s">
        <v>159</v>
      </c>
      <c r="C211" s="92">
        <v>36762</v>
      </c>
      <c r="D211" s="41" t="s">
        <v>87</v>
      </c>
      <c r="E211" s="41" t="s">
        <v>14</v>
      </c>
      <c r="F211" s="41" t="s">
        <v>15</v>
      </c>
      <c r="G211" s="41" t="s">
        <v>33</v>
      </c>
      <c r="H211" s="93">
        <v>0</v>
      </c>
      <c r="I211" s="94">
        <f t="shared" si="62"/>
        <v>0</v>
      </c>
      <c r="J211" s="95">
        <v>36831</v>
      </c>
      <c r="K211" s="96">
        <f>+K210</f>
        <v>16000</v>
      </c>
      <c r="L211" s="97" t="s">
        <v>25</v>
      </c>
      <c r="M211" s="93" t="s">
        <v>76</v>
      </c>
      <c r="O211" s="62">
        <f t="shared" si="63"/>
        <v>80</v>
      </c>
      <c r="Q211" s="100">
        <v>4.3099999999999996</v>
      </c>
      <c r="T211" s="62">
        <v>0</v>
      </c>
      <c r="AA211" s="91" t="s">
        <v>201</v>
      </c>
      <c r="AB211" s="41" t="s">
        <v>297</v>
      </c>
    </row>
    <row r="212" spans="1:28" x14ac:dyDescent="0.2">
      <c r="A212" s="91">
        <v>28</v>
      </c>
      <c r="B212" s="91" t="s">
        <v>159</v>
      </c>
      <c r="C212" s="92">
        <v>36762</v>
      </c>
      <c r="D212" s="41" t="s">
        <v>87</v>
      </c>
      <c r="E212" s="41" t="s">
        <v>14</v>
      </c>
      <c r="F212" s="41" t="s">
        <v>15</v>
      </c>
      <c r="G212" s="41" t="s">
        <v>33</v>
      </c>
      <c r="H212" s="93">
        <v>0</v>
      </c>
      <c r="I212" s="94">
        <f t="shared" si="62"/>
        <v>0</v>
      </c>
      <c r="J212" s="95">
        <v>36861</v>
      </c>
      <c r="K212" s="96">
        <f>+K211</f>
        <v>16000</v>
      </c>
      <c r="L212" s="97" t="s">
        <v>25</v>
      </c>
      <c r="M212" s="93" t="s">
        <v>76</v>
      </c>
      <c r="O212" s="62">
        <f t="shared" si="63"/>
        <v>80</v>
      </c>
      <c r="Q212" s="100">
        <v>5.7750000000000004</v>
      </c>
      <c r="T212" s="62">
        <f>(5.2-Q212)*K212</f>
        <v>-9200.0000000000036</v>
      </c>
      <c r="AA212" s="91" t="s">
        <v>201</v>
      </c>
      <c r="AB212" s="41" t="s">
        <v>297</v>
      </c>
    </row>
    <row r="213" spans="1:28" x14ac:dyDescent="0.2">
      <c r="A213" s="91">
        <v>28</v>
      </c>
      <c r="B213" s="91" t="s">
        <v>159</v>
      </c>
      <c r="C213" s="92">
        <v>36762</v>
      </c>
      <c r="D213" s="41" t="s">
        <v>87</v>
      </c>
      <c r="E213" s="41" t="s">
        <v>14</v>
      </c>
      <c r="F213" s="41" t="s">
        <v>15</v>
      </c>
      <c r="G213" s="41" t="s">
        <v>33</v>
      </c>
      <c r="H213" s="93">
        <v>0</v>
      </c>
      <c r="I213" s="94">
        <f t="shared" si="62"/>
        <v>0</v>
      </c>
      <c r="J213" s="95">
        <v>36892</v>
      </c>
      <c r="K213" s="96">
        <f>+K212</f>
        <v>16000</v>
      </c>
      <c r="L213" s="97" t="s">
        <v>25</v>
      </c>
      <c r="M213" s="93" t="s">
        <v>76</v>
      </c>
      <c r="O213" s="62">
        <f t="shared" si="63"/>
        <v>80</v>
      </c>
      <c r="Q213" s="100">
        <v>9.5649999999999995</v>
      </c>
      <c r="T213" s="62">
        <f>(5.2-Q213)*K213</f>
        <v>-69839.999999999985</v>
      </c>
      <c r="AA213" s="91" t="s">
        <v>201</v>
      </c>
      <c r="AB213" s="41" t="s">
        <v>297</v>
      </c>
    </row>
    <row r="214" spans="1:28" x14ac:dyDescent="0.2">
      <c r="A214" s="91">
        <v>28</v>
      </c>
      <c r="B214" s="91" t="s">
        <v>159</v>
      </c>
      <c r="C214" s="92">
        <v>36762</v>
      </c>
      <c r="D214" s="41" t="s">
        <v>87</v>
      </c>
      <c r="E214" s="41" t="s">
        <v>14</v>
      </c>
      <c r="F214" s="41" t="s">
        <v>15</v>
      </c>
      <c r="G214" s="41" t="s">
        <v>33</v>
      </c>
      <c r="H214" s="93">
        <v>0</v>
      </c>
      <c r="I214" s="94">
        <f t="shared" si="62"/>
        <v>0</v>
      </c>
      <c r="J214" s="95">
        <v>36923</v>
      </c>
      <c r="K214" s="96">
        <f>+K213</f>
        <v>16000</v>
      </c>
      <c r="L214" s="97" t="s">
        <v>25</v>
      </c>
      <c r="M214" s="93" t="s">
        <v>76</v>
      </c>
      <c r="O214" s="62">
        <f t="shared" si="63"/>
        <v>80</v>
      </c>
      <c r="AA214" s="91" t="s">
        <v>201</v>
      </c>
      <c r="AB214" s="41" t="s">
        <v>297</v>
      </c>
    </row>
    <row r="216" spans="1:28" x14ac:dyDescent="0.2">
      <c r="A216" s="91">
        <v>29</v>
      </c>
      <c r="B216" s="91" t="s">
        <v>160</v>
      </c>
      <c r="C216" s="92">
        <v>36762</v>
      </c>
      <c r="D216" s="41" t="s">
        <v>88</v>
      </c>
      <c r="E216" s="41" t="s">
        <v>14</v>
      </c>
      <c r="F216" s="41" t="s">
        <v>15</v>
      </c>
      <c r="G216" s="41" t="s">
        <v>33</v>
      </c>
      <c r="H216" s="93">
        <v>0</v>
      </c>
      <c r="I216" s="94">
        <f t="shared" ref="I216:I221" si="64">+H216*K216</f>
        <v>0</v>
      </c>
      <c r="J216" s="95">
        <v>36770</v>
      </c>
      <c r="K216" s="96">
        <v>6000</v>
      </c>
      <c r="L216" s="97" t="s">
        <v>25</v>
      </c>
      <c r="M216" s="93" t="s">
        <v>76</v>
      </c>
      <c r="O216" s="62">
        <f t="shared" ref="O216:O221" si="65">0.005*K216</f>
        <v>30</v>
      </c>
      <c r="Q216" s="100">
        <v>4.45</v>
      </c>
      <c r="T216" s="62">
        <v>0</v>
      </c>
      <c r="Y216" s="41" t="s">
        <v>210</v>
      </c>
      <c r="AA216" s="91" t="s">
        <v>201</v>
      </c>
      <c r="AB216" s="41" t="s">
        <v>297</v>
      </c>
    </row>
    <row r="217" spans="1:28" x14ac:dyDescent="0.2">
      <c r="A217" s="91">
        <v>29</v>
      </c>
      <c r="B217" s="91" t="s">
        <v>160</v>
      </c>
      <c r="C217" s="92">
        <v>36762</v>
      </c>
      <c r="D217" s="41" t="s">
        <v>88</v>
      </c>
      <c r="E217" s="41" t="s">
        <v>14</v>
      </c>
      <c r="F217" s="41" t="s">
        <v>15</v>
      </c>
      <c r="G217" s="41" t="s">
        <v>33</v>
      </c>
      <c r="H217" s="93">
        <v>0</v>
      </c>
      <c r="I217" s="94">
        <f t="shared" si="64"/>
        <v>0</v>
      </c>
      <c r="J217" s="95">
        <v>36800</v>
      </c>
      <c r="K217" s="96">
        <f>+K216</f>
        <v>6000</v>
      </c>
      <c r="L217" s="97" t="s">
        <v>25</v>
      </c>
      <c r="M217" s="93" t="s">
        <v>76</v>
      </c>
      <c r="O217" s="62">
        <f t="shared" si="65"/>
        <v>30</v>
      </c>
      <c r="Q217" s="100">
        <v>5.1050000000000004</v>
      </c>
      <c r="T217" s="62">
        <v>0</v>
      </c>
      <c r="AA217" s="91" t="s">
        <v>201</v>
      </c>
      <c r="AB217" s="41" t="s">
        <v>297</v>
      </c>
    </row>
    <row r="218" spans="1:28" x14ac:dyDescent="0.2">
      <c r="A218" s="91">
        <v>29</v>
      </c>
      <c r="B218" s="91" t="s">
        <v>160</v>
      </c>
      <c r="C218" s="92">
        <v>36762</v>
      </c>
      <c r="D218" s="41" t="s">
        <v>88</v>
      </c>
      <c r="E218" s="41" t="s">
        <v>14</v>
      </c>
      <c r="F218" s="41" t="s">
        <v>15</v>
      </c>
      <c r="G218" s="41" t="s">
        <v>33</v>
      </c>
      <c r="H218" s="93">
        <v>0</v>
      </c>
      <c r="I218" s="94">
        <f t="shared" si="64"/>
        <v>0</v>
      </c>
      <c r="J218" s="95">
        <v>36831</v>
      </c>
      <c r="K218" s="96">
        <f>+K217</f>
        <v>6000</v>
      </c>
      <c r="L218" s="97" t="s">
        <v>25</v>
      </c>
      <c r="M218" s="93" t="s">
        <v>76</v>
      </c>
      <c r="O218" s="62">
        <f t="shared" si="65"/>
        <v>30</v>
      </c>
      <c r="Q218" s="100">
        <v>4.3099999999999996</v>
      </c>
      <c r="T218" s="62">
        <v>0</v>
      </c>
      <c r="AA218" s="91" t="s">
        <v>201</v>
      </c>
      <c r="AB218" s="41" t="s">
        <v>297</v>
      </c>
    </row>
    <row r="219" spans="1:28" x14ac:dyDescent="0.2">
      <c r="A219" s="91">
        <v>29</v>
      </c>
      <c r="B219" s="91" t="s">
        <v>160</v>
      </c>
      <c r="C219" s="92">
        <v>36762</v>
      </c>
      <c r="D219" s="41" t="s">
        <v>88</v>
      </c>
      <c r="E219" s="41" t="s">
        <v>14</v>
      </c>
      <c r="F219" s="41" t="s">
        <v>15</v>
      </c>
      <c r="G219" s="41" t="s">
        <v>33</v>
      </c>
      <c r="H219" s="93">
        <v>0</v>
      </c>
      <c r="I219" s="94">
        <f t="shared" si="64"/>
        <v>0</v>
      </c>
      <c r="J219" s="95">
        <v>36861</v>
      </c>
      <c r="K219" s="96">
        <f>+K218</f>
        <v>6000</v>
      </c>
      <c r="L219" s="97" t="s">
        <v>25</v>
      </c>
      <c r="M219" s="93" t="s">
        <v>76</v>
      </c>
      <c r="O219" s="62">
        <f t="shared" si="65"/>
        <v>30</v>
      </c>
      <c r="Q219" s="100">
        <v>5.7750000000000004</v>
      </c>
      <c r="T219" s="62">
        <f>(5.2-Q219)*K219</f>
        <v>-3450.0000000000009</v>
      </c>
      <c r="AA219" s="91" t="s">
        <v>201</v>
      </c>
      <c r="AB219" s="41" t="s">
        <v>297</v>
      </c>
    </row>
    <row r="220" spans="1:28" x14ac:dyDescent="0.2">
      <c r="A220" s="91">
        <v>29</v>
      </c>
      <c r="B220" s="91" t="s">
        <v>160</v>
      </c>
      <c r="C220" s="92">
        <v>36762</v>
      </c>
      <c r="D220" s="41" t="s">
        <v>88</v>
      </c>
      <c r="E220" s="41" t="s">
        <v>14</v>
      </c>
      <c r="F220" s="41" t="s">
        <v>15</v>
      </c>
      <c r="G220" s="41" t="s">
        <v>33</v>
      </c>
      <c r="H220" s="93">
        <v>0</v>
      </c>
      <c r="I220" s="94">
        <f t="shared" si="64"/>
        <v>0</v>
      </c>
      <c r="J220" s="95">
        <v>36892</v>
      </c>
      <c r="K220" s="96">
        <f>+K219</f>
        <v>6000</v>
      </c>
      <c r="L220" s="97" t="s">
        <v>25</v>
      </c>
      <c r="M220" s="93" t="s">
        <v>76</v>
      </c>
      <c r="O220" s="62">
        <f t="shared" si="65"/>
        <v>30</v>
      </c>
      <c r="Q220" s="100">
        <v>9.5649999999999995</v>
      </c>
      <c r="T220" s="62">
        <f>(5.2-Q220)*K220</f>
        <v>-26189.999999999996</v>
      </c>
      <c r="AA220" s="91" t="s">
        <v>201</v>
      </c>
      <c r="AB220" s="41" t="s">
        <v>297</v>
      </c>
    </row>
    <row r="221" spans="1:28" x14ac:dyDescent="0.2">
      <c r="A221" s="91">
        <v>29</v>
      </c>
      <c r="B221" s="91" t="s">
        <v>160</v>
      </c>
      <c r="C221" s="92">
        <v>36762</v>
      </c>
      <c r="D221" s="41" t="s">
        <v>88</v>
      </c>
      <c r="E221" s="41" t="s">
        <v>14</v>
      </c>
      <c r="F221" s="41" t="s">
        <v>15</v>
      </c>
      <c r="G221" s="41" t="s">
        <v>33</v>
      </c>
      <c r="H221" s="93">
        <v>0</v>
      </c>
      <c r="I221" s="94">
        <f t="shared" si="64"/>
        <v>0</v>
      </c>
      <c r="J221" s="95">
        <v>36923</v>
      </c>
      <c r="K221" s="96">
        <f>+K220</f>
        <v>6000</v>
      </c>
      <c r="L221" s="97" t="s">
        <v>25</v>
      </c>
      <c r="M221" s="93" t="s">
        <v>76</v>
      </c>
      <c r="O221" s="62">
        <f t="shared" si="65"/>
        <v>30</v>
      </c>
      <c r="AA221" s="91" t="s">
        <v>201</v>
      </c>
      <c r="AB221" s="41" t="s">
        <v>297</v>
      </c>
    </row>
    <row r="223" spans="1:28" x14ac:dyDescent="0.2">
      <c r="A223" s="91">
        <v>30</v>
      </c>
      <c r="B223" s="91" t="s">
        <v>161</v>
      </c>
      <c r="C223" s="92">
        <v>36762</v>
      </c>
      <c r="D223" s="41" t="s">
        <v>89</v>
      </c>
      <c r="E223" s="41" t="s">
        <v>14</v>
      </c>
      <c r="F223" s="41" t="s">
        <v>15</v>
      </c>
      <c r="G223" s="41" t="s">
        <v>33</v>
      </c>
      <c r="H223" s="93">
        <v>0</v>
      </c>
      <c r="I223" s="94">
        <f t="shared" ref="I223:I228" si="66">+H223*K223</f>
        <v>0</v>
      </c>
      <c r="J223" s="95">
        <v>36770</v>
      </c>
      <c r="K223" s="96">
        <v>1000</v>
      </c>
      <c r="L223" s="97" t="s">
        <v>25</v>
      </c>
      <c r="M223" s="93" t="s">
        <v>76</v>
      </c>
      <c r="O223" s="62">
        <f t="shared" ref="O223:O228" si="67">0.005*K223</f>
        <v>5</v>
      </c>
      <c r="Q223" s="100">
        <v>4.45</v>
      </c>
      <c r="T223" s="62">
        <v>0</v>
      </c>
      <c r="Y223" s="41" t="s">
        <v>210</v>
      </c>
      <c r="AA223" s="91" t="s">
        <v>201</v>
      </c>
      <c r="AB223" s="41" t="s">
        <v>297</v>
      </c>
    </row>
    <row r="224" spans="1:28" x14ac:dyDescent="0.2">
      <c r="A224" s="91">
        <v>30</v>
      </c>
      <c r="B224" s="91" t="s">
        <v>161</v>
      </c>
      <c r="C224" s="92">
        <v>36762</v>
      </c>
      <c r="D224" s="41" t="s">
        <v>89</v>
      </c>
      <c r="E224" s="41" t="s">
        <v>14</v>
      </c>
      <c r="F224" s="41" t="s">
        <v>15</v>
      </c>
      <c r="G224" s="41" t="s">
        <v>33</v>
      </c>
      <c r="H224" s="93">
        <v>0</v>
      </c>
      <c r="I224" s="94">
        <f t="shared" si="66"/>
        <v>0</v>
      </c>
      <c r="J224" s="95">
        <v>36800</v>
      </c>
      <c r="K224" s="96">
        <f>+K223</f>
        <v>1000</v>
      </c>
      <c r="L224" s="97" t="s">
        <v>25</v>
      </c>
      <c r="M224" s="93" t="s">
        <v>76</v>
      </c>
      <c r="O224" s="62">
        <f t="shared" si="67"/>
        <v>5</v>
      </c>
      <c r="Q224" s="100">
        <v>5.1050000000000004</v>
      </c>
      <c r="T224" s="62">
        <v>0</v>
      </c>
      <c r="AA224" s="91" t="s">
        <v>201</v>
      </c>
      <c r="AB224" s="41" t="s">
        <v>297</v>
      </c>
    </row>
    <row r="225" spans="1:28" x14ac:dyDescent="0.2">
      <c r="A225" s="91">
        <v>30</v>
      </c>
      <c r="B225" s="91" t="s">
        <v>161</v>
      </c>
      <c r="C225" s="92">
        <v>36762</v>
      </c>
      <c r="D225" s="41" t="s">
        <v>89</v>
      </c>
      <c r="E225" s="41" t="s">
        <v>14</v>
      </c>
      <c r="F225" s="41" t="s">
        <v>15</v>
      </c>
      <c r="G225" s="41" t="s">
        <v>33</v>
      </c>
      <c r="H225" s="93">
        <v>0</v>
      </c>
      <c r="I225" s="94">
        <f t="shared" si="66"/>
        <v>0</v>
      </c>
      <c r="J225" s="95">
        <v>36831</v>
      </c>
      <c r="K225" s="96">
        <f>+K224</f>
        <v>1000</v>
      </c>
      <c r="L225" s="97" t="s">
        <v>25</v>
      </c>
      <c r="M225" s="93" t="s">
        <v>76</v>
      </c>
      <c r="O225" s="62">
        <f t="shared" si="67"/>
        <v>5</v>
      </c>
      <c r="Q225" s="100">
        <v>4.3099999999999996</v>
      </c>
      <c r="T225" s="62">
        <v>0</v>
      </c>
      <c r="AA225" s="91" t="s">
        <v>201</v>
      </c>
      <c r="AB225" s="41" t="s">
        <v>297</v>
      </c>
    </row>
    <row r="226" spans="1:28" x14ac:dyDescent="0.2">
      <c r="A226" s="91">
        <v>30</v>
      </c>
      <c r="B226" s="91" t="s">
        <v>161</v>
      </c>
      <c r="C226" s="92">
        <v>36762</v>
      </c>
      <c r="D226" s="41" t="s">
        <v>89</v>
      </c>
      <c r="E226" s="41" t="s">
        <v>14</v>
      </c>
      <c r="F226" s="41" t="s">
        <v>15</v>
      </c>
      <c r="G226" s="41" t="s">
        <v>33</v>
      </c>
      <c r="H226" s="93">
        <v>0</v>
      </c>
      <c r="I226" s="94">
        <f t="shared" si="66"/>
        <v>0</v>
      </c>
      <c r="J226" s="95">
        <v>36861</v>
      </c>
      <c r="K226" s="96">
        <f>+K225</f>
        <v>1000</v>
      </c>
      <c r="L226" s="97" t="s">
        <v>25</v>
      </c>
      <c r="M226" s="93" t="s">
        <v>76</v>
      </c>
      <c r="O226" s="62">
        <f t="shared" si="67"/>
        <v>5</v>
      </c>
      <c r="Q226" s="100">
        <v>5.7750000000000004</v>
      </c>
      <c r="T226" s="62">
        <f>(5.2-Q226)*K226</f>
        <v>-575.00000000000023</v>
      </c>
      <c r="AA226" s="91" t="s">
        <v>201</v>
      </c>
      <c r="AB226" s="41" t="s">
        <v>297</v>
      </c>
    </row>
    <row r="227" spans="1:28" x14ac:dyDescent="0.2">
      <c r="A227" s="91">
        <v>30</v>
      </c>
      <c r="B227" s="91" t="s">
        <v>161</v>
      </c>
      <c r="C227" s="92">
        <v>36762</v>
      </c>
      <c r="D227" s="41" t="s">
        <v>89</v>
      </c>
      <c r="E227" s="41" t="s">
        <v>14</v>
      </c>
      <c r="F227" s="41" t="s">
        <v>15</v>
      </c>
      <c r="G227" s="41" t="s">
        <v>33</v>
      </c>
      <c r="H227" s="93">
        <v>0</v>
      </c>
      <c r="I227" s="94">
        <f t="shared" si="66"/>
        <v>0</v>
      </c>
      <c r="J227" s="95">
        <v>36892</v>
      </c>
      <c r="K227" s="96">
        <f>+K226</f>
        <v>1000</v>
      </c>
      <c r="L227" s="97" t="s">
        <v>25</v>
      </c>
      <c r="M227" s="93" t="s">
        <v>76</v>
      </c>
      <c r="O227" s="62">
        <f t="shared" si="67"/>
        <v>5</v>
      </c>
      <c r="Q227" s="100">
        <v>9.5649999999999995</v>
      </c>
      <c r="T227" s="62">
        <f>(5.2-Q227)*K227</f>
        <v>-4364.9999999999991</v>
      </c>
      <c r="AA227" s="91" t="s">
        <v>201</v>
      </c>
      <c r="AB227" s="41" t="s">
        <v>297</v>
      </c>
    </row>
    <row r="228" spans="1:28" x14ac:dyDescent="0.2">
      <c r="A228" s="91">
        <v>30</v>
      </c>
      <c r="B228" s="91" t="s">
        <v>161</v>
      </c>
      <c r="C228" s="92">
        <v>36762</v>
      </c>
      <c r="D228" s="41" t="s">
        <v>89</v>
      </c>
      <c r="E228" s="41" t="s">
        <v>14</v>
      </c>
      <c r="F228" s="41" t="s">
        <v>15</v>
      </c>
      <c r="G228" s="41" t="s">
        <v>33</v>
      </c>
      <c r="H228" s="93">
        <v>0</v>
      </c>
      <c r="I228" s="94">
        <f t="shared" si="66"/>
        <v>0</v>
      </c>
      <c r="J228" s="95">
        <v>36923</v>
      </c>
      <c r="K228" s="96">
        <f>+K227</f>
        <v>1000</v>
      </c>
      <c r="L228" s="97" t="s">
        <v>25</v>
      </c>
      <c r="M228" s="93" t="s">
        <v>76</v>
      </c>
      <c r="O228" s="62">
        <f t="shared" si="67"/>
        <v>5</v>
      </c>
      <c r="AA228" s="91" t="s">
        <v>201</v>
      </c>
      <c r="AB228" s="41" t="s">
        <v>297</v>
      </c>
    </row>
    <row r="230" spans="1:28" x14ac:dyDescent="0.2">
      <c r="A230" s="91">
        <v>31</v>
      </c>
      <c r="B230" s="91" t="s">
        <v>162</v>
      </c>
      <c r="C230" s="92">
        <v>36762</v>
      </c>
      <c r="D230" s="41" t="s">
        <v>90</v>
      </c>
      <c r="E230" s="41" t="s">
        <v>14</v>
      </c>
      <c r="F230" s="41" t="s">
        <v>15</v>
      </c>
      <c r="G230" s="41" t="s">
        <v>33</v>
      </c>
      <c r="H230" s="93">
        <v>0</v>
      </c>
      <c r="I230" s="94">
        <f t="shared" ref="I230:I235" si="68">+H230*K230</f>
        <v>0</v>
      </c>
      <c r="J230" s="95">
        <v>36770</v>
      </c>
      <c r="K230" s="96">
        <v>10000</v>
      </c>
      <c r="L230" s="97" t="s">
        <v>25</v>
      </c>
      <c r="M230" s="93" t="s">
        <v>76</v>
      </c>
      <c r="O230" s="62">
        <f t="shared" ref="O230:O235" si="69">0.005*K230</f>
        <v>50</v>
      </c>
      <c r="Q230" s="100">
        <v>4.45</v>
      </c>
      <c r="T230" s="62">
        <v>0</v>
      </c>
      <c r="Y230" s="41" t="s">
        <v>210</v>
      </c>
      <c r="AA230" s="91" t="s">
        <v>201</v>
      </c>
      <c r="AB230" s="41" t="s">
        <v>297</v>
      </c>
    </row>
    <row r="231" spans="1:28" x14ac:dyDescent="0.2">
      <c r="A231" s="91">
        <v>31</v>
      </c>
      <c r="B231" s="91" t="s">
        <v>162</v>
      </c>
      <c r="C231" s="92">
        <v>36762</v>
      </c>
      <c r="D231" s="41" t="s">
        <v>90</v>
      </c>
      <c r="E231" s="41" t="s">
        <v>14</v>
      </c>
      <c r="F231" s="41" t="s">
        <v>15</v>
      </c>
      <c r="G231" s="41" t="s">
        <v>33</v>
      </c>
      <c r="H231" s="93">
        <v>0</v>
      </c>
      <c r="I231" s="94">
        <f t="shared" si="68"/>
        <v>0</v>
      </c>
      <c r="J231" s="95">
        <v>36800</v>
      </c>
      <c r="K231" s="96">
        <f>+K230</f>
        <v>10000</v>
      </c>
      <c r="L231" s="97" t="s">
        <v>25</v>
      </c>
      <c r="M231" s="93" t="s">
        <v>76</v>
      </c>
      <c r="O231" s="62">
        <f t="shared" si="69"/>
        <v>50</v>
      </c>
      <c r="Q231" s="100">
        <v>5.1050000000000004</v>
      </c>
      <c r="T231" s="62">
        <v>0</v>
      </c>
      <c r="AA231" s="91" t="s">
        <v>201</v>
      </c>
      <c r="AB231" s="41" t="s">
        <v>297</v>
      </c>
    </row>
    <row r="232" spans="1:28" x14ac:dyDescent="0.2">
      <c r="A232" s="91">
        <v>31</v>
      </c>
      <c r="B232" s="91" t="s">
        <v>162</v>
      </c>
      <c r="C232" s="92">
        <v>36762</v>
      </c>
      <c r="D232" s="41" t="s">
        <v>90</v>
      </c>
      <c r="E232" s="41" t="s">
        <v>14</v>
      </c>
      <c r="F232" s="41" t="s">
        <v>15</v>
      </c>
      <c r="G232" s="41" t="s">
        <v>33</v>
      </c>
      <c r="H232" s="93">
        <v>0</v>
      </c>
      <c r="I232" s="94">
        <f t="shared" si="68"/>
        <v>0</v>
      </c>
      <c r="J232" s="95">
        <v>36831</v>
      </c>
      <c r="K232" s="96">
        <f>+K231</f>
        <v>10000</v>
      </c>
      <c r="L232" s="97" t="s">
        <v>25</v>
      </c>
      <c r="M232" s="93" t="s">
        <v>76</v>
      </c>
      <c r="O232" s="62">
        <f t="shared" si="69"/>
        <v>50</v>
      </c>
      <c r="Q232" s="100">
        <v>4.3099999999999996</v>
      </c>
      <c r="T232" s="62">
        <v>0</v>
      </c>
      <c r="AA232" s="91" t="s">
        <v>201</v>
      </c>
      <c r="AB232" s="41" t="s">
        <v>297</v>
      </c>
    </row>
    <row r="233" spans="1:28" x14ac:dyDescent="0.2">
      <c r="A233" s="91">
        <v>31</v>
      </c>
      <c r="B233" s="91" t="s">
        <v>162</v>
      </c>
      <c r="C233" s="92">
        <v>36762</v>
      </c>
      <c r="D233" s="41" t="s">
        <v>90</v>
      </c>
      <c r="E233" s="41" t="s">
        <v>14</v>
      </c>
      <c r="F233" s="41" t="s">
        <v>15</v>
      </c>
      <c r="G233" s="41" t="s">
        <v>33</v>
      </c>
      <c r="H233" s="93">
        <v>0</v>
      </c>
      <c r="I233" s="94">
        <f t="shared" si="68"/>
        <v>0</v>
      </c>
      <c r="J233" s="95">
        <v>36861</v>
      </c>
      <c r="K233" s="96">
        <f>+K232</f>
        <v>10000</v>
      </c>
      <c r="L233" s="97" t="s">
        <v>25</v>
      </c>
      <c r="M233" s="93" t="s">
        <v>76</v>
      </c>
      <c r="O233" s="62">
        <f t="shared" si="69"/>
        <v>50</v>
      </c>
      <c r="Q233" s="100">
        <v>5.7750000000000004</v>
      </c>
      <c r="T233" s="62">
        <f>(5.2-Q233)*K233</f>
        <v>-5750.0000000000018</v>
      </c>
      <c r="AA233" s="91" t="s">
        <v>201</v>
      </c>
      <c r="AB233" s="41" t="s">
        <v>297</v>
      </c>
    </row>
    <row r="234" spans="1:28" x14ac:dyDescent="0.2">
      <c r="A234" s="91">
        <v>31</v>
      </c>
      <c r="B234" s="91" t="s">
        <v>162</v>
      </c>
      <c r="C234" s="92">
        <v>36762</v>
      </c>
      <c r="D234" s="41" t="s">
        <v>90</v>
      </c>
      <c r="E234" s="41" t="s">
        <v>14</v>
      </c>
      <c r="F234" s="41" t="s">
        <v>15</v>
      </c>
      <c r="G234" s="41" t="s">
        <v>33</v>
      </c>
      <c r="H234" s="93">
        <v>0</v>
      </c>
      <c r="I234" s="94">
        <f t="shared" si="68"/>
        <v>0</v>
      </c>
      <c r="J234" s="95">
        <v>36892</v>
      </c>
      <c r="K234" s="96">
        <f>+K233</f>
        <v>10000</v>
      </c>
      <c r="L234" s="97" t="s">
        <v>25</v>
      </c>
      <c r="M234" s="93" t="s">
        <v>76</v>
      </c>
      <c r="O234" s="62">
        <f t="shared" si="69"/>
        <v>50</v>
      </c>
      <c r="Q234" s="100">
        <v>9.5649999999999995</v>
      </c>
      <c r="T234" s="62">
        <f>(5.2-Q234)*K234</f>
        <v>-43649.999999999993</v>
      </c>
      <c r="AA234" s="91" t="s">
        <v>201</v>
      </c>
      <c r="AB234" s="41" t="s">
        <v>297</v>
      </c>
    </row>
    <row r="235" spans="1:28" x14ac:dyDescent="0.2">
      <c r="A235" s="91">
        <v>31</v>
      </c>
      <c r="B235" s="91" t="s">
        <v>162</v>
      </c>
      <c r="C235" s="92">
        <v>36762</v>
      </c>
      <c r="D235" s="41" t="s">
        <v>90</v>
      </c>
      <c r="E235" s="41" t="s">
        <v>14</v>
      </c>
      <c r="F235" s="41" t="s">
        <v>15</v>
      </c>
      <c r="G235" s="41" t="s">
        <v>33</v>
      </c>
      <c r="H235" s="93">
        <v>0</v>
      </c>
      <c r="I235" s="94">
        <f t="shared" si="68"/>
        <v>0</v>
      </c>
      <c r="J235" s="95">
        <v>36923</v>
      </c>
      <c r="K235" s="96">
        <f>+K234</f>
        <v>10000</v>
      </c>
      <c r="L235" s="97" t="s">
        <v>25</v>
      </c>
      <c r="M235" s="93" t="s">
        <v>76</v>
      </c>
      <c r="O235" s="62">
        <f t="shared" si="69"/>
        <v>50</v>
      </c>
      <c r="AA235" s="91" t="s">
        <v>201</v>
      </c>
      <c r="AB235" s="41" t="s">
        <v>297</v>
      </c>
    </row>
    <row r="237" spans="1:28" x14ac:dyDescent="0.2">
      <c r="A237" s="91">
        <v>32</v>
      </c>
      <c r="B237" s="91" t="s">
        <v>163</v>
      </c>
      <c r="C237" s="92">
        <v>36762</v>
      </c>
      <c r="D237" s="41" t="s">
        <v>91</v>
      </c>
      <c r="E237" s="41" t="s">
        <v>14</v>
      </c>
      <c r="F237" s="41" t="s">
        <v>15</v>
      </c>
      <c r="G237" s="41" t="s">
        <v>33</v>
      </c>
      <c r="H237" s="93">
        <v>0</v>
      </c>
      <c r="I237" s="94">
        <f t="shared" ref="I237:I242" si="70">+H237*K237</f>
        <v>0</v>
      </c>
      <c r="J237" s="95">
        <v>36770</v>
      </c>
      <c r="K237" s="96">
        <v>3000</v>
      </c>
      <c r="L237" s="97" t="s">
        <v>25</v>
      </c>
      <c r="M237" s="93" t="s">
        <v>76</v>
      </c>
      <c r="O237" s="62">
        <f t="shared" ref="O237:O242" si="71">0.005*K237</f>
        <v>15</v>
      </c>
      <c r="Q237" s="100">
        <v>4.45</v>
      </c>
      <c r="T237" s="62">
        <v>0</v>
      </c>
      <c r="Y237" s="41" t="s">
        <v>210</v>
      </c>
      <c r="AA237" s="91" t="s">
        <v>201</v>
      </c>
      <c r="AB237" s="41" t="s">
        <v>297</v>
      </c>
    </row>
    <row r="238" spans="1:28" x14ac:dyDescent="0.2">
      <c r="A238" s="91">
        <v>32</v>
      </c>
      <c r="B238" s="91" t="s">
        <v>163</v>
      </c>
      <c r="C238" s="92">
        <v>36762</v>
      </c>
      <c r="D238" s="41" t="s">
        <v>91</v>
      </c>
      <c r="E238" s="41" t="s">
        <v>14</v>
      </c>
      <c r="F238" s="41" t="s">
        <v>15</v>
      </c>
      <c r="G238" s="41" t="s">
        <v>33</v>
      </c>
      <c r="H238" s="93">
        <v>0</v>
      </c>
      <c r="I238" s="94">
        <f t="shared" si="70"/>
        <v>0</v>
      </c>
      <c r="J238" s="95">
        <v>36800</v>
      </c>
      <c r="K238" s="96">
        <f>+K237</f>
        <v>3000</v>
      </c>
      <c r="L238" s="97" t="s">
        <v>25</v>
      </c>
      <c r="M238" s="93" t="s">
        <v>76</v>
      </c>
      <c r="O238" s="62">
        <f t="shared" si="71"/>
        <v>15</v>
      </c>
      <c r="Q238" s="100">
        <v>5.1050000000000004</v>
      </c>
      <c r="T238" s="62">
        <v>0</v>
      </c>
      <c r="AA238" s="91" t="s">
        <v>201</v>
      </c>
      <c r="AB238" s="41" t="s">
        <v>297</v>
      </c>
    </row>
    <row r="239" spans="1:28" x14ac:dyDescent="0.2">
      <c r="A239" s="91">
        <v>32</v>
      </c>
      <c r="B239" s="91" t="s">
        <v>163</v>
      </c>
      <c r="C239" s="92">
        <v>36762</v>
      </c>
      <c r="D239" s="41" t="s">
        <v>91</v>
      </c>
      <c r="E239" s="41" t="s">
        <v>14</v>
      </c>
      <c r="F239" s="41" t="s">
        <v>15</v>
      </c>
      <c r="G239" s="41" t="s">
        <v>33</v>
      </c>
      <c r="H239" s="93">
        <v>0</v>
      </c>
      <c r="I239" s="94">
        <f t="shared" si="70"/>
        <v>0</v>
      </c>
      <c r="J239" s="95">
        <v>36831</v>
      </c>
      <c r="K239" s="96">
        <f>+K238</f>
        <v>3000</v>
      </c>
      <c r="L239" s="97" t="s">
        <v>25</v>
      </c>
      <c r="M239" s="93" t="s">
        <v>76</v>
      </c>
      <c r="O239" s="62">
        <f t="shared" si="71"/>
        <v>15</v>
      </c>
      <c r="Q239" s="100">
        <v>4.3099999999999996</v>
      </c>
      <c r="T239" s="62">
        <v>0</v>
      </c>
      <c r="AA239" s="91" t="s">
        <v>201</v>
      </c>
      <c r="AB239" s="41" t="s">
        <v>297</v>
      </c>
    </row>
    <row r="240" spans="1:28" x14ac:dyDescent="0.2">
      <c r="A240" s="91">
        <v>32</v>
      </c>
      <c r="B240" s="91" t="s">
        <v>163</v>
      </c>
      <c r="C240" s="92">
        <v>36762</v>
      </c>
      <c r="D240" s="41" t="s">
        <v>91</v>
      </c>
      <c r="E240" s="41" t="s">
        <v>14</v>
      </c>
      <c r="F240" s="41" t="s">
        <v>15</v>
      </c>
      <c r="G240" s="41" t="s">
        <v>33</v>
      </c>
      <c r="H240" s="93">
        <v>0</v>
      </c>
      <c r="I240" s="94">
        <f t="shared" si="70"/>
        <v>0</v>
      </c>
      <c r="J240" s="95">
        <v>36861</v>
      </c>
      <c r="K240" s="96">
        <f>+K239</f>
        <v>3000</v>
      </c>
      <c r="L240" s="97" t="s">
        <v>25</v>
      </c>
      <c r="M240" s="93" t="s">
        <v>76</v>
      </c>
      <c r="O240" s="62">
        <f t="shared" si="71"/>
        <v>15</v>
      </c>
      <c r="Q240" s="100">
        <v>5.7750000000000004</v>
      </c>
      <c r="T240" s="62">
        <f>(5.2-Q240)*K240</f>
        <v>-1725.0000000000005</v>
      </c>
      <c r="AA240" s="91" t="s">
        <v>201</v>
      </c>
      <c r="AB240" s="41" t="s">
        <v>297</v>
      </c>
    </row>
    <row r="241" spans="1:28" x14ac:dyDescent="0.2">
      <c r="A241" s="91">
        <v>32</v>
      </c>
      <c r="B241" s="91" t="s">
        <v>163</v>
      </c>
      <c r="C241" s="92">
        <v>36762</v>
      </c>
      <c r="D241" s="41" t="s">
        <v>91</v>
      </c>
      <c r="E241" s="41" t="s">
        <v>14</v>
      </c>
      <c r="F241" s="41" t="s">
        <v>15</v>
      </c>
      <c r="G241" s="41" t="s">
        <v>33</v>
      </c>
      <c r="H241" s="93">
        <v>0</v>
      </c>
      <c r="I241" s="94">
        <f t="shared" si="70"/>
        <v>0</v>
      </c>
      <c r="J241" s="95">
        <v>36892</v>
      </c>
      <c r="K241" s="96">
        <f>+K240</f>
        <v>3000</v>
      </c>
      <c r="L241" s="97" t="s">
        <v>25</v>
      </c>
      <c r="M241" s="93" t="s">
        <v>76</v>
      </c>
      <c r="O241" s="62">
        <f t="shared" si="71"/>
        <v>15</v>
      </c>
      <c r="Q241" s="100">
        <v>9.5649999999999995</v>
      </c>
      <c r="T241" s="62">
        <f>(5.2-Q241)*K241</f>
        <v>-13094.999999999998</v>
      </c>
      <c r="AA241" s="91" t="s">
        <v>201</v>
      </c>
      <c r="AB241" s="41" t="s">
        <v>297</v>
      </c>
    </row>
    <row r="242" spans="1:28" x14ac:dyDescent="0.2">
      <c r="A242" s="91">
        <v>32</v>
      </c>
      <c r="B242" s="91" t="s">
        <v>163</v>
      </c>
      <c r="C242" s="92">
        <v>36762</v>
      </c>
      <c r="D242" s="41" t="s">
        <v>91</v>
      </c>
      <c r="E242" s="41" t="s">
        <v>14</v>
      </c>
      <c r="F242" s="41" t="s">
        <v>15</v>
      </c>
      <c r="G242" s="41" t="s">
        <v>33</v>
      </c>
      <c r="H242" s="93">
        <v>0</v>
      </c>
      <c r="I242" s="94">
        <f t="shared" si="70"/>
        <v>0</v>
      </c>
      <c r="J242" s="95">
        <v>36923</v>
      </c>
      <c r="K242" s="96">
        <f>+K241</f>
        <v>3000</v>
      </c>
      <c r="L242" s="97" t="s">
        <v>25</v>
      </c>
      <c r="M242" s="93" t="s">
        <v>76</v>
      </c>
      <c r="O242" s="62">
        <f t="shared" si="71"/>
        <v>15</v>
      </c>
      <c r="AA242" s="91" t="s">
        <v>201</v>
      </c>
      <c r="AB242" s="41" t="s">
        <v>297</v>
      </c>
    </row>
    <row r="244" spans="1:28" x14ac:dyDescent="0.2">
      <c r="A244" s="91">
        <v>33</v>
      </c>
      <c r="B244" s="91" t="s">
        <v>164</v>
      </c>
      <c r="C244" s="92">
        <v>36762</v>
      </c>
      <c r="D244" s="41" t="s">
        <v>92</v>
      </c>
      <c r="E244" s="41" t="s">
        <v>14</v>
      </c>
      <c r="F244" s="41" t="s">
        <v>15</v>
      </c>
      <c r="G244" s="41" t="s">
        <v>33</v>
      </c>
      <c r="H244" s="93">
        <v>0</v>
      </c>
      <c r="I244" s="94">
        <f t="shared" ref="I244:I249" si="72">+H244*K244</f>
        <v>0</v>
      </c>
      <c r="J244" s="95">
        <v>36770</v>
      </c>
      <c r="K244" s="96">
        <v>6000</v>
      </c>
      <c r="L244" s="97" t="s">
        <v>25</v>
      </c>
      <c r="M244" s="93" t="s">
        <v>76</v>
      </c>
      <c r="O244" s="62">
        <f t="shared" ref="O244:O249" si="73">0.005*K244</f>
        <v>30</v>
      </c>
      <c r="Q244" s="100">
        <v>4.45</v>
      </c>
      <c r="T244" s="62">
        <v>0</v>
      </c>
      <c r="Y244" s="41" t="s">
        <v>210</v>
      </c>
      <c r="AA244" s="91" t="s">
        <v>201</v>
      </c>
      <c r="AB244" s="41" t="s">
        <v>297</v>
      </c>
    </row>
    <row r="245" spans="1:28" x14ac:dyDescent="0.2">
      <c r="A245" s="91">
        <v>33</v>
      </c>
      <c r="B245" s="91" t="s">
        <v>164</v>
      </c>
      <c r="C245" s="92">
        <v>36762</v>
      </c>
      <c r="D245" s="41" t="s">
        <v>92</v>
      </c>
      <c r="E245" s="41" t="s">
        <v>14</v>
      </c>
      <c r="F245" s="41" t="s">
        <v>15</v>
      </c>
      <c r="G245" s="41" t="s">
        <v>33</v>
      </c>
      <c r="H245" s="93">
        <v>0</v>
      </c>
      <c r="I245" s="94">
        <f t="shared" si="72"/>
        <v>0</v>
      </c>
      <c r="J245" s="95">
        <v>36800</v>
      </c>
      <c r="K245" s="96">
        <f>+K244</f>
        <v>6000</v>
      </c>
      <c r="L245" s="97" t="s">
        <v>25</v>
      </c>
      <c r="M245" s="93" t="s">
        <v>76</v>
      </c>
      <c r="O245" s="62">
        <f t="shared" si="73"/>
        <v>30</v>
      </c>
      <c r="Q245" s="100">
        <v>5.1050000000000004</v>
      </c>
      <c r="T245" s="62">
        <v>0</v>
      </c>
      <c r="AA245" s="91" t="s">
        <v>201</v>
      </c>
      <c r="AB245" s="41" t="s">
        <v>297</v>
      </c>
    </row>
    <row r="246" spans="1:28" x14ac:dyDescent="0.2">
      <c r="A246" s="91">
        <v>33</v>
      </c>
      <c r="B246" s="91" t="s">
        <v>164</v>
      </c>
      <c r="C246" s="92">
        <v>36762</v>
      </c>
      <c r="D246" s="41" t="s">
        <v>92</v>
      </c>
      <c r="E246" s="41" t="s">
        <v>14</v>
      </c>
      <c r="F246" s="41" t="s">
        <v>15</v>
      </c>
      <c r="G246" s="41" t="s">
        <v>33</v>
      </c>
      <c r="H246" s="93">
        <v>0</v>
      </c>
      <c r="I246" s="94">
        <f t="shared" si="72"/>
        <v>0</v>
      </c>
      <c r="J246" s="95">
        <v>36831</v>
      </c>
      <c r="K246" s="96">
        <f>+K245</f>
        <v>6000</v>
      </c>
      <c r="L246" s="97" t="s">
        <v>25</v>
      </c>
      <c r="M246" s="93" t="s">
        <v>76</v>
      </c>
      <c r="O246" s="62">
        <f t="shared" si="73"/>
        <v>30</v>
      </c>
      <c r="Q246" s="100">
        <v>4.3099999999999996</v>
      </c>
      <c r="T246" s="62">
        <v>0</v>
      </c>
      <c r="AA246" s="91" t="s">
        <v>201</v>
      </c>
      <c r="AB246" s="41" t="s">
        <v>297</v>
      </c>
    </row>
    <row r="247" spans="1:28" x14ac:dyDescent="0.2">
      <c r="A247" s="91">
        <v>33</v>
      </c>
      <c r="B247" s="91" t="s">
        <v>164</v>
      </c>
      <c r="C247" s="92">
        <v>36762</v>
      </c>
      <c r="D247" s="41" t="s">
        <v>92</v>
      </c>
      <c r="E247" s="41" t="s">
        <v>14</v>
      </c>
      <c r="F247" s="41" t="s">
        <v>15</v>
      </c>
      <c r="G247" s="41" t="s">
        <v>33</v>
      </c>
      <c r="H247" s="93">
        <v>0</v>
      </c>
      <c r="I247" s="94">
        <f t="shared" si="72"/>
        <v>0</v>
      </c>
      <c r="J247" s="95">
        <v>36861</v>
      </c>
      <c r="K247" s="96">
        <f>+K246</f>
        <v>6000</v>
      </c>
      <c r="L247" s="97" t="s">
        <v>25</v>
      </c>
      <c r="M247" s="93" t="s">
        <v>76</v>
      </c>
      <c r="O247" s="62">
        <f t="shared" si="73"/>
        <v>30</v>
      </c>
      <c r="Q247" s="100">
        <v>5.7750000000000004</v>
      </c>
      <c r="T247" s="62">
        <f>(5.2-Q247)*K247</f>
        <v>-3450.0000000000009</v>
      </c>
      <c r="AA247" s="91" t="s">
        <v>201</v>
      </c>
      <c r="AB247" s="41" t="s">
        <v>297</v>
      </c>
    </row>
    <row r="248" spans="1:28" x14ac:dyDescent="0.2">
      <c r="A248" s="91">
        <v>33</v>
      </c>
      <c r="B248" s="91" t="s">
        <v>164</v>
      </c>
      <c r="C248" s="92">
        <v>36762</v>
      </c>
      <c r="D248" s="41" t="s">
        <v>92</v>
      </c>
      <c r="E248" s="41" t="s">
        <v>14</v>
      </c>
      <c r="F248" s="41" t="s">
        <v>15</v>
      </c>
      <c r="G248" s="41" t="s">
        <v>33</v>
      </c>
      <c r="H248" s="93">
        <v>0</v>
      </c>
      <c r="I248" s="94">
        <f t="shared" si="72"/>
        <v>0</v>
      </c>
      <c r="J248" s="95">
        <v>36892</v>
      </c>
      <c r="K248" s="96">
        <f>+K247</f>
        <v>6000</v>
      </c>
      <c r="L248" s="97" t="s">
        <v>25</v>
      </c>
      <c r="M248" s="93" t="s">
        <v>76</v>
      </c>
      <c r="O248" s="62">
        <f t="shared" si="73"/>
        <v>30</v>
      </c>
      <c r="Q248" s="100">
        <v>9.5649999999999995</v>
      </c>
      <c r="T248" s="62">
        <f>(5.2-Q248)*K248</f>
        <v>-26189.999999999996</v>
      </c>
      <c r="AA248" s="91" t="s">
        <v>201</v>
      </c>
      <c r="AB248" s="41" t="s">
        <v>297</v>
      </c>
    </row>
    <row r="249" spans="1:28" x14ac:dyDescent="0.2">
      <c r="A249" s="91">
        <v>33</v>
      </c>
      <c r="B249" s="91" t="s">
        <v>164</v>
      </c>
      <c r="C249" s="92">
        <v>36762</v>
      </c>
      <c r="D249" s="41" t="s">
        <v>92</v>
      </c>
      <c r="E249" s="41" t="s">
        <v>14</v>
      </c>
      <c r="F249" s="41" t="s">
        <v>15</v>
      </c>
      <c r="G249" s="41" t="s">
        <v>33</v>
      </c>
      <c r="H249" s="93">
        <v>0</v>
      </c>
      <c r="I249" s="94">
        <f t="shared" si="72"/>
        <v>0</v>
      </c>
      <c r="J249" s="95">
        <v>36923</v>
      </c>
      <c r="K249" s="96">
        <f>+K248</f>
        <v>6000</v>
      </c>
      <c r="L249" s="97" t="s">
        <v>25</v>
      </c>
      <c r="M249" s="93" t="s">
        <v>76</v>
      </c>
      <c r="O249" s="62">
        <f t="shared" si="73"/>
        <v>30</v>
      </c>
      <c r="AA249" s="91" t="s">
        <v>201</v>
      </c>
      <c r="AB249" s="41" t="s">
        <v>297</v>
      </c>
    </row>
    <row r="251" spans="1:28" x14ac:dyDescent="0.2">
      <c r="A251" s="91">
        <v>34</v>
      </c>
      <c r="B251" s="91" t="s">
        <v>165</v>
      </c>
      <c r="C251" s="92">
        <v>36762</v>
      </c>
      <c r="D251" s="41" t="s">
        <v>93</v>
      </c>
      <c r="E251" s="41" t="s">
        <v>14</v>
      </c>
      <c r="F251" s="41" t="s">
        <v>15</v>
      </c>
      <c r="G251" s="41" t="s">
        <v>33</v>
      </c>
      <c r="H251" s="93">
        <v>0</v>
      </c>
      <c r="I251" s="94">
        <f t="shared" ref="I251:I256" si="74">+H251*K251</f>
        <v>0</v>
      </c>
      <c r="J251" s="95">
        <v>36770</v>
      </c>
      <c r="K251" s="96">
        <v>8000</v>
      </c>
      <c r="L251" s="97" t="s">
        <v>25</v>
      </c>
      <c r="M251" s="93" t="s">
        <v>76</v>
      </c>
      <c r="O251" s="62">
        <f t="shared" ref="O251:O256" si="75">0.005*K251</f>
        <v>40</v>
      </c>
      <c r="Q251" s="100">
        <v>4.45</v>
      </c>
      <c r="T251" s="62">
        <v>0</v>
      </c>
      <c r="Y251" s="41" t="s">
        <v>210</v>
      </c>
      <c r="AA251" s="91" t="s">
        <v>201</v>
      </c>
      <c r="AB251" s="41" t="s">
        <v>297</v>
      </c>
    </row>
    <row r="252" spans="1:28" x14ac:dyDescent="0.2">
      <c r="A252" s="91">
        <v>34</v>
      </c>
      <c r="B252" s="91" t="s">
        <v>165</v>
      </c>
      <c r="C252" s="92">
        <v>36762</v>
      </c>
      <c r="D252" s="41" t="s">
        <v>93</v>
      </c>
      <c r="E252" s="41" t="s">
        <v>14</v>
      </c>
      <c r="F252" s="41" t="s">
        <v>15</v>
      </c>
      <c r="G252" s="41" t="s">
        <v>33</v>
      </c>
      <c r="H252" s="93">
        <v>0</v>
      </c>
      <c r="I252" s="94">
        <f t="shared" si="74"/>
        <v>0</v>
      </c>
      <c r="J252" s="95">
        <v>36800</v>
      </c>
      <c r="K252" s="96">
        <f>+K251</f>
        <v>8000</v>
      </c>
      <c r="L252" s="97" t="s">
        <v>25</v>
      </c>
      <c r="M252" s="93" t="s">
        <v>76</v>
      </c>
      <c r="O252" s="62">
        <f t="shared" si="75"/>
        <v>40</v>
      </c>
      <c r="Q252" s="100">
        <v>5.1050000000000004</v>
      </c>
      <c r="T252" s="62">
        <v>0</v>
      </c>
      <c r="AA252" s="91" t="s">
        <v>201</v>
      </c>
      <c r="AB252" s="41" t="s">
        <v>297</v>
      </c>
    </row>
    <row r="253" spans="1:28" x14ac:dyDescent="0.2">
      <c r="A253" s="91">
        <v>34</v>
      </c>
      <c r="B253" s="91" t="s">
        <v>165</v>
      </c>
      <c r="C253" s="92">
        <v>36762</v>
      </c>
      <c r="D253" s="41" t="s">
        <v>93</v>
      </c>
      <c r="E253" s="41" t="s">
        <v>14</v>
      </c>
      <c r="F253" s="41" t="s">
        <v>15</v>
      </c>
      <c r="G253" s="41" t="s">
        <v>33</v>
      </c>
      <c r="H253" s="93">
        <v>0</v>
      </c>
      <c r="I253" s="94">
        <f t="shared" si="74"/>
        <v>0</v>
      </c>
      <c r="J253" s="95">
        <v>36831</v>
      </c>
      <c r="K253" s="96">
        <f>+K252</f>
        <v>8000</v>
      </c>
      <c r="L253" s="97" t="s">
        <v>25</v>
      </c>
      <c r="M253" s="93" t="s">
        <v>76</v>
      </c>
      <c r="O253" s="62">
        <f t="shared" si="75"/>
        <v>40</v>
      </c>
      <c r="Q253" s="100">
        <v>4.3099999999999996</v>
      </c>
      <c r="T253" s="62">
        <v>0</v>
      </c>
      <c r="AA253" s="91" t="s">
        <v>201</v>
      </c>
      <c r="AB253" s="41" t="s">
        <v>297</v>
      </c>
    </row>
    <row r="254" spans="1:28" x14ac:dyDescent="0.2">
      <c r="A254" s="91">
        <v>34</v>
      </c>
      <c r="B254" s="91" t="s">
        <v>165</v>
      </c>
      <c r="C254" s="92">
        <v>36762</v>
      </c>
      <c r="D254" s="41" t="s">
        <v>93</v>
      </c>
      <c r="E254" s="41" t="s">
        <v>14</v>
      </c>
      <c r="F254" s="41" t="s">
        <v>15</v>
      </c>
      <c r="G254" s="41" t="s">
        <v>33</v>
      </c>
      <c r="H254" s="93">
        <v>0</v>
      </c>
      <c r="I254" s="94">
        <f t="shared" si="74"/>
        <v>0</v>
      </c>
      <c r="J254" s="95">
        <v>36861</v>
      </c>
      <c r="K254" s="96">
        <f>+K253</f>
        <v>8000</v>
      </c>
      <c r="L254" s="97" t="s">
        <v>25</v>
      </c>
      <c r="M254" s="93" t="s">
        <v>76</v>
      </c>
      <c r="O254" s="62">
        <f t="shared" si="75"/>
        <v>40</v>
      </c>
      <c r="Q254" s="100">
        <v>5.7750000000000004</v>
      </c>
      <c r="T254" s="62">
        <f>(5.2-Q254)*K254</f>
        <v>-4600.0000000000018</v>
      </c>
      <c r="AA254" s="91" t="s">
        <v>201</v>
      </c>
      <c r="AB254" s="41" t="s">
        <v>297</v>
      </c>
    </row>
    <row r="255" spans="1:28" x14ac:dyDescent="0.2">
      <c r="A255" s="91">
        <v>34</v>
      </c>
      <c r="B255" s="91" t="s">
        <v>165</v>
      </c>
      <c r="C255" s="92">
        <v>36762</v>
      </c>
      <c r="D255" s="41" t="s">
        <v>93</v>
      </c>
      <c r="E255" s="41" t="s">
        <v>14</v>
      </c>
      <c r="F255" s="41" t="s">
        <v>15</v>
      </c>
      <c r="G255" s="41" t="s">
        <v>33</v>
      </c>
      <c r="H255" s="93">
        <v>0</v>
      </c>
      <c r="I255" s="94">
        <f t="shared" si="74"/>
        <v>0</v>
      </c>
      <c r="J255" s="95">
        <v>36892</v>
      </c>
      <c r="K255" s="96">
        <f>+K254</f>
        <v>8000</v>
      </c>
      <c r="L255" s="97" t="s">
        <v>25</v>
      </c>
      <c r="M255" s="93" t="s">
        <v>76</v>
      </c>
      <c r="O255" s="62">
        <f t="shared" si="75"/>
        <v>40</v>
      </c>
      <c r="Q255" s="100">
        <v>9.5649999999999995</v>
      </c>
      <c r="T255" s="62">
        <f>(5.2-Q255)*K255</f>
        <v>-34919.999999999993</v>
      </c>
      <c r="AA255" s="91" t="s">
        <v>201</v>
      </c>
      <c r="AB255" s="41" t="s">
        <v>297</v>
      </c>
    </row>
    <row r="256" spans="1:28" x14ac:dyDescent="0.2">
      <c r="A256" s="91">
        <v>34</v>
      </c>
      <c r="B256" s="91" t="s">
        <v>165</v>
      </c>
      <c r="C256" s="92">
        <v>36762</v>
      </c>
      <c r="D256" s="41" t="s">
        <v>93</v>
      </c>
      <c r="E256" s="41" t="s">
        <v>14</v>
      </c>
      <c r="F256" s="41" t="s">
        <v>15</v>
      </c>
      <c r="G256" s="41" t="s">
        <v>33</v>
      </c>
      <c r="H256" s="93">
        <v>0</v>
      </c>
      <c r="I256" s="94">
        <f t="shared" si="74"/>
        <v>0</v>
      </c>
      <c r="J256" s="95">
        <v>36923</v>
      </c>
      <c r="K256" s="96">
        <f>+K255</f>
        <v>8000</v>
      </c>
      <c r="L256" s="97" t="s">
        <v>25</v>
      </c>
      <c r="M256" s="93" t="s">
        <v>76</v>
      </c>
      <c r="O256" s="62">
        <f t="shared" si="75"/>
        <v>40</v>
      </c>
      <c r="AA256" s="91" t="s">
        <v>201</v>
      </c>
      <c r="AB256" s="41" t="s">
        <v>297</v>
      </c>
    </row>
    <row r="258" spans="1:28" x14ac:dyDescent="0.2">
      <c r="A258" s="91">
        <v>35</v>
      </c>
      <c r="B258" s="91" t="s">
        <v>166</v>
      </c>
      <c r="C258" s="92">
        <v>36762</v>
      </c>
      <c r="D258" s="41" t="s">
        <v>94</v>
      </c>
      <c r="E258" s="41" t="s">
        <v>14</v>
      </c>
      <c r="F258" s="41" t="s">
        <v>15</v>
      </c>
      <c r="G258" s="41" t="s">
        <v>33</v>
      </c>
      <c r="H258" s="93">
        <v>0</v>
      </c>
      <c r="I258" s="94">
        <f t="shared" ref="I258:I263" si="76">+H258*K258</f>
        <v>0</v>
      </c>
      <c r="J258" s="95">
        <v>36770</v>
      </c>
      <c r="K258" s="96">
        <v>2000</v>
      </c>
      <c r="L258" s="97" t="s">
        <v>25</v>
      </c>
      <c r="M258" s="93" t="s">
        <v>76</v>
      </c>
      <c r="O258" s="62">
        <f t="shared" ref="O258:O263" si="77">0.005*K258</f>
        <v>10</v>
      </c>
      <c r="Q258" s="100">
        <v>4.45</v>
      </c>
      <c r="T258" s="62">
        <v>0</v>
      </c>
      <c r="Y258" s="41" t="s">
        <v>210</v>
      </c>
      <c r="AA258" s="91" t="s">
        <v>201</v>
      </c>
      <c r="AB258" s="41" t="s">
        <v>297</v>
      </c>
    </row>
    <row r="259" spans="1:28" x14ac:dyDescent="0.2">
      <c r="A259" s="91">
        <v>35</v>
      </c>
      <c r="B259" s="91" t="s">
        <v>166</v>
      </c>
      <c r="C259" s="92">
        <v>36762</v>
      </c>
      <c r="D259" s="41" t="s">
        <v>94</v>
      </c>
      <c r="E259" s="41" t="s">
        <v>14</v>
      </c>
      <c r="F259" s="41" t="s">
        <v>15</v>
      </c>
      <c r="G259" s="41" t="s">
        <v>33</v>
      </c>
      <c r="H259" s="93">
        <v>0</v>
      </c>
      <c r="I259" s="94">
        <f t="shared" si="76"/>
        <v>0</v>
      </c>
      <c r="J259" s="95">
        <v>36800</v>
      </c>
      <c r="K259" s="96">
        <f>+K258</f>
        <v>2000</v>
      </c>
      <c r="L259" s="97" t="s">
        <v>25</v>
      </c>
      <c r="M259" s="93" t="s">
        <v>76</v>
      </c>
      <c r="O259" s="62">
        <f t="shared" si="77"/>
        <v>10</v>
      </c>
      <c r="Q259" s="100">
        <v>5.1050000000000004</v>
      </c>
      <c r="T259" s="62">
        <v>0</v>
      </c>
      <c r="AA259" s="91" t="s">
        <v>201</v>
      </c>
      <c r="AB259" s="41" t="s">
        <v>297</v>
      </c>
    </row>
    <row r="260" spans="1:28" x14ac:dyDescent="0.2">
      <c r="A260" s="91">
        <v>35</v>
      </c>
      <c r="B260" s="91" t="s">
        <v>166</v>
      </c>
      <c r="C260" s="92">
        <v>36762</v>
      </c>
      <c r="D260" s="41" t="s">
        <v>94</v>
      </c>
      <c r="E260" s="41" t="s">
        <v>14</v>
      </c>
      <c r="F260" s="41" t="s">
        <v>15</v>
      </c>
      <c r="G260" s="41" t="s">
        <v>33</v>
      </c>
      <c r="H260" s="93">
        <v>0</v>
      </c>
      <c r="I260" s="94">
        <f t="shared" si="76"/>
        <v>0</v>
      </c>
      <c r="J260" s="95">
        <v>36831</v>
      </c>
      <c r="K260" s="96">
        <f>+K259</f>
        <v>2000</v>
      </c>
      <c r="L260" s="97" t="s">
        <v>25</v>
      </c>
      <c r="M260" s="93" t="s">
        <v>76</v>
      </c>
      <c r="O260" s="62">
        <f t="shared" si="77"/>
        <v>10</v>
      </c>
      <c r="Q260" s="100">
        <v>4.3099999999999996</v>
      </c>
      <c r="T260" s="62">
        <v>0</v>
      </c>
      <c r="AA260" s="91" t="s">
        <v>201</v>
      </c>
      <c r="AB260" s="41" t="s">
        <v>297</v>
      </c>
    </row>
    <row r="261" spans="1:28" x14ac:dyDescent="0.2">
      <c r="A261" s="91">
        <v>35</v>
      </c>
      <c r="B261" s="91" t="s">
        <v>166</v>
      </c>
      <c r="C261" s="92">
        <v>36762</v>
      </c>
      <c r="D261" s="41" t="s">
        <v>94</v>
      </c>
      <c r="E261" s="41" t="s">
        <v>14</v>
      </c>
      <c r="F261" s="41" t="s">
        <v>15</v>
      </c>
      <c r="G261" s="41" t="s">
        <v>33</v>
      </c>
      <c r="H261" s="93">
        <v>0</v>
      </c>
      <c r="I261" s="94">
        <f t="shared" si="76"/>
        <v>0</v>
      </c>
      <c r="J261" s="95">
        <v>36861</v>
      </c>
      <c r="K261" s="96">
        <f>+K260</f>
        <v>2000</v>
      </c>
      <c r="L261" s="97" t="s">
        <v>25</v>
      </c>
      <c r="M261" s="93" t="s">
        <v>76</v>
      </c>
      <c r="O261" s="62">
        <f t="shared" si="77"/>
        <v>10</v>
      </c>
      <c r="Q261" s="100">
        <v>5.7750000000000004</v>
      </c>
      <c r="T261" s="62">
        <f>(5.2-Q261)*K261</f>
        <v>-1150.0000000000005</v>
      </c>
      <c r="AA261" s="91" t="s">
        <v>201</v>
      </c>
      <c r="AB261" s="41" t="s">
        <v>297</v>
      </c>
    </row>
    <row r="262" spans="1:28" x14ac:dyDescent="0.2">
      <c r="A262" s="91">
        <v>35</v>
      </c>
      <c r="B262" s="91" t="s">
        <v>166</v>
      </c>
      <c r="C262" s="92">
        <v>36762</v>
      </c>
      <c r="D262" s="41" t="s">
        <v>94</v>
      </c>
      <c r="E262" s="41" t="s">
        <v>14</v>
      </c>
      <c r="F262" s="41" t="s">
        <v>15</v>
      </c>
      <c r="G262" s="41" t="s">
        <v>33</v>
      </c>
      <c r="H262" s="93">
        <v>0</v>
      </c>
      <c r="I262" s="94">
        <f t="shared" si="76"/>
        <v>0</v>
      </c>
      <c r="J262" s="95">
        <v>36892</v>
      </c>
      <c r="K262" s="96">
        <f>+K261</f>
        <v>2000</v>
      </c>
      <c r="L262" s="97" t="s">
        <v>25</v>
      </c>
      <c r="M262" s="93" t="s">
        <v>76</v>
      </c>
      <c r="O262" s="62">
        <f t="shared" si="77"/>
        <v>10</v>
      </c>
      <c r="Q262" s="100">
        <v>9.5649999999999995</v>
      </c>
      <c r="T262" s="62">
        <f>(5.2-Q262)*K262</f>
        <v>-8729.9999999999982</v>
      </c>
      <c r="AA262" s="91" t="s">
        <v>201</v>
      </c>
      <c r="AB262" s="41" t="s">
        <v>297</v>
      </c>
    </row>
    <row r="263" spans="1:28" x14ac:dyDescent="0.2">
      <c r="A263" s="91">
        <v>35</v>
      </c>
      <c r="B263" s="91" t="s">
        <v>166</v>
      </c>
      <c r="C263" s="92">
        <v>36762</v>
      </c>
      <c r="D263" s="41" t="s">
        <v>94</v>
      </c>
      <c r="E263" s="41" t="s">
        <v>14</v>
      </c>
      <c r="F263" s="41" t="s">
        <v>15</v>
      </c>
      <c r="G263" s="41" t="s">
        <v>33</v>
      </c>
      <c r="H263" s="93">
        <v>0</v>
      </c>
      <c r="I263" s="94">
        <f t="shared" si="76"/>
        <v>0</v>
      </c>
      <c r="J263" s="95">
        <v>36923</v>
      </c>
      <c r="K263" s="96">
        <f>+K262</f>
        <v>2000</v>
      </c>
      <c r="L263" s="97" t="s">
        <v>25</v>
      </c>
      <c r="M263" s="93" t="s">
        <v>76</v>
      </c>
      <c r="O263" s="62">
        <f t="shared" si="77"/>
        <v>10</v>
      </c>
      <c r="AA263" s="91" t="s">
        <v>201</v>
      </c>
      <c r="AB263" s="41" t="s">
        <v>297</v>
      </c>
    </row>
    <row r="265" spans="1:28" x14ac:dyDescent="0.2">
      <c r="A265" s="91">
        <v>36</v>
      </c>
      <c r="B265" s="91" t="s">
        <v>167</v>
      </c>
      <c r="C265" s="92">
        <v>36762</v>
      </c>
      <c r="D265" s="41" t="s">
        <v>95</v>
      </c>
      <c r="E265" s="41" t="s">
        <v>14</v>
      </c>
      <c r="F265" s="41" t="s">
        <v>15</v>
      </c>
      <c r="G265" s="41" t="s">
        <v>33</v>
      </c>
      <c r="H265" s="93">
        <v>0</v>
      </c>
      <c r="I265" s="94">
        <f t="shared" ref="I265:I270" si="78">+H265*K265</f>
        <v>0</v>
      </c>
      <c r="J265" s="95">
        <v>36770</v>
      </c>
      <c r="K265" s="96">
        <v>4000</v>
      </c>
      <c r="L265" s="97" t="s">
        <v>25</v>
      </c>
      <c r="M265" s="93" t="s">
        <v>76</v>
      </c>
      <c r="O265" s="62">
        <f t="shared" ref="O265:O270" si="79">0.005*K265</f>
        <v>20</v>
      </c>
      <c r="Q265" s="100">
        <v>4.45</v>
      </c>
      <c r="T265" s="62">
        <v>0</v>
      </c>
      <c r="Y265" s="41" t="s">
        <v>210</v>
      </c>
      <c r="AA265" s="91" t="s">
        <v>201</v>
      </c>
      <c r="AB265" s="41" t="s">
        <v>297</v>
      </c>
    </row>
    <row r="266" spans="1:28" x14ac:dyDescent="0.2">
      <c r="A266" s="91">
        <v>36</v>
      </c>
      <c r="B266" s="91" t="s">
        <v>167</v>
      </c>
      <c r="C266" s="92">
        <v>36762</v>
      </c>
      <c r="D266" s="41" t="s">
        <v>95</v>
      </c>
      <c r="E266" s="41" t="s">
        <v>14</v>
      </c>
      <c r="F266" s="41" t="s">
        <v>15</v>
      </c>
      <c r="G266" s="41" t="s">
        <v>33</v>
      </c>
      <c r="H266" s="93">
        <v>0</v>
      </c>
      <c r="I266" s="94">
        <f t="shared" si="78"/>
        <v>0</v>
      </c>
      <c r="J266" s="95">
        <v>36800</v>
      </c>
      <c r="K266" s="96">
        <f>+K265</f>
        <v>4000</v>
      </c>
      <c r="L266" s="97" t="s">
        <v>25</v>
      </c>
      <c r="M266" s="93" t="s">
        <v>76</v>
      </c>
      <c r="O266" s="62">
        <f t="shared" si="79"/>
        <v>20</v>
      </c>
      <c r="Q266" s="100">
        <v>5.1050000000000004</v>
      </c>
      <c r="T266" s="62">
        <v>0</v>
      </c>
      <c r="AA266" s="91" t="s">
        <v>201</v>
      </c>
      <c r="AB266" s="41" t="s">
        <v>297</v>
      </c>
    </row>
    <row r="267" spans="1:28" x14ac:dyDescent="0.2">
      <c r="A267" s="91">
        <v>36</v>
      </c>
      <c r="B267" s="91" t="s">
        <v>167</v>
      </c>
      <c r="C267" s="92">
        <v>36762</v>
      </c>
      <c r="D267" s="41" t="s">
        <v>95</v>
      </c>
      <c r="E267" s="41" t="s">
        <v>14</v>
      </c>
      <c r="F267" s="41" t="s">
        <v>15</v>
      </c>
      <c r="G267" s="41" t="s">
        <v>33</v>
      </c>
      <c r="H267" s="93">
        <v>0</v>
      </c>
      <c r="I267" s="94">
        <f t="shared" si="78"/>
        <v>0</v>
      </c>
      <c r="J267" s="95">
        <v>36831</v>
      </c>
      <c r="K267" s="96">
        <f>+K266</f>
        <v>4000</v>
      </c>
      <c r="L267" s="97" t="s">
        <v>25</v>
      </c>
      <c r="M267" s="93" t="s">
        <v>76</v>
      </c>
      <c r="O267" s="62">
        <f t="shared" si="79"/>
        <v>20</v>
      </c>
      <c r="Q267" s="100">
        <v>4.3099999999999996</v>
      </c>
      <c r="T267" s="62">
        <v>0</v>
      </c>
      <c r="AA267" s="91" t="s">
        <v>201</v>
      </c>
      <c r="AB267" s="41" t="s">
        <v>297</v>
      </c>
    </row>
    <row r="268" spans="1:28" x14ac:dyDescent="0.2">
      <c r="A268" s="91">
        <v>36</v>
      </c>
      <c r="B268" s="91" t="s">
        <v>167</v>
      </c>
      <c r="C268" s="92">
        <v>36762</v>
      </c>
      <c r="D268" s="41" t="s">
        <v>95</v>
      </c>
      <c r="E268" s="41" t="s">
        <v>14</v>
      </c>
      <c r="F268" s="41" t="s">
        <v>15</v>
      </c>
      <c r="G268" s="41" t="s">
        <v>33</v>
      </c>
      <c r="H268" s="93">
        <v>0</v>
      </c>
      <c r="I268" s="94">
        <f t="shared" si="78"/>
        <v>0</v>
      </c>
      <c r="J268" s="95">
        <v>36861</v>
      </c>
      <c r="K268" s="96">
        <f>+K267</f>
        <v>4000</v>
      </c>
      <c r="L268" s="97" t="s">
        <v>25</v>
      </c>
      <c r="M268" s="93" t="s">
        <v>76</v>
      </c>
      <c r="O268" s="62">
        <f t="shared" si="79"/>
        <v>20</v>
      </c>
      <c r="Q268" s="100">
        <v>5.7750000000000004</v>
      </c>
      <c r="T268" s="62">
        <f>(5.2-Q268)*K268</f>
        <v>-2300.0000000000009</v>
      </c>
      <c r="AA268" s="91" t="s">
        <v>201</v>
      </c>
      <c r="AB268" s="41" t="s">
        <v>297</v>
      </c>
    </row>
    <row r="269" spans="1:28" x14ac:dyDescent="0.2">
      <c r="A269" s="91">
        <v>36</v>
      </c>
      <c r="B269" s="91" t="s">
        <v>167</v>
      </c>
      <c r="C269" s="92">
        <v>36762</v>
      </c>
      <c r="D269" s="41" t="s">
        <v>95</v>
      </c>
      <c r="E269" s="41" t="s">
        <v>14</v>
      </c>
      <c r="F269" s="41" t="s">
        <v>15</v>
      </c>
      <c r="G269" s="41" t="s">
        <v>33</v>
      </c>
      <c r="H269" s="93">
        <v>0</v>
      </c>
      <c r="I269" s="94">
        <f t="shared" si="78"/>
        <v>0</v>
      </c>
      <c r="J269" s="95">
        <v>36892</v>
      </c>
      <c r="K269" s="96">
        <f>+K268</f>
        <v>4000</v>
      </c>
      <c r="L269" s="97" t="s">
        <v>25</v>
      </c>
      <c r="M269" s="93" t="s">
        <v>76</v>
      </c>
      <c r="O269" s="62">
        <f t="shared" si="79"/>
        <v>20</v>
      </c>
      <c r="Q269" s="100">
        <v>9.5649999999999995</v>
      </c>
      <c r="T269" s="62">
        <f>(5.2-Q269)*K269</f>
        <v>-17459.999999999996</v>
      </c>
      <c r="AA269" s="91" t="s">
        <v>201</v>
      </c>
      <c r="AB269" s="41" t="s">
        <v>297</v>
      </c>
    </row>
    <row r="270" spans="1:28" x14ac:dyDescent="0.2">
      <c r="A270" s="91">
        <v>36</v>
      </c>
      <c r="B270" s="91" t="s">
        <v>167</v>
      </c>
      <c r="C270" s="92">
        <v>36762</v>
      </c>
      <c r="D270" s="41" t="s">
        <v>95</v>
      </c>
      <c r="E270" s="41" t="s">
        <v>14</v>
      </c>
      <c r="F270" s="41" t="s">
        <v>15</v>
      </c>
      <c r="G270" s="41" t="s">
        <v>33</v>
      </c>
      <c r="H270" s="93">
        <v>0</v>
      </c>
      <c r="I270" s="94">
        <f t="shared" si="78"/>
        <v>0</v>
      </c>
      <c r="J270" s="95">
        <v>36923</v>
      </c>
      <c r="K270" s="96">
        <f>+K269</f>
        <v>4000</v>
      </c>
      <c r="L270" s="97" t="s">
        <v>25</v>
      </c>
      <c r="M270" s="93" t="s">
        <v>76</v>
      </c>
      <c r="O270" s="62">
        <f t="shared" si="79"/>
        <v>20</v>
      </c>
      <c r="AA270" s="91" t="s">
        <v>201</v>
      </c>
      <c r="AB270" s="41" t="s">
        <v>297</v>
      </c>
    </row>
    <row r="272" spans="1:28" x14ac:dyDescent="0.2">
      <c r="A272" s="91">
        <v>37</v>
      </c>
      <c r="B272" s="91" t="s">
        <v>168</v>
      </c>
      <c r="C272" s="92">
        <v>36762</v>
      </c>
      <c r="D272" s="41" t="s">
        <v>96</v>
      </c>
      <c r="E272" s="41" t="s">
        <v>14</v>
      </c>
      <c r="F272" s="41" t="s">
        <v>15</v>
      </c>
      <c r="G272" s="41" t="s">
        <v>33</v>
      </c>
      <c r="H272" s="93">
        <v>0</v>
      </c>
      <c r="I272" s="94">
        <f t="shared" ref="I272:I277" si="80">+H272*K272</f>
        <v>0</v>
      </c>
      <c r="J272" s="95">
        <v>36770</v>
      </c>
      <c r="K272" s="96">
        <v>4000</v>
      </c>
      <c r="L272" s="97" t="s">
        <v>25</v>
      </c>
      <c r="M272" s="93" t="s">
        <v>76</v>
      </c>
      <c r="O272" s="62">
        <f t="shared" ref="O272:O277" si="81">0.005*K272</f>
        <v>20</v>
      </c>
      <c r="Q272" s="100">
        <v>4.45</v>
      </c>
      <c r="T272" s="62">
        <v>0</v>
      </c>
      <c r="Y272" s="41" t="s">
        <v>210</v>
      </c>
      <c r="AA272" s="91" t="s">
        <v>201</v>
      </c>
      <c r="AB272" s="41" t="s">
        <v>297</v>
      </c>
    </row>
    <row r="273" spans="1:28" x14ac:dyDescent="0.2">
      <c r="A273" s="91">
        <v>37</v>
      </c>
      <c r="B273" s="91" t="s">
        <v>168</v>
      </c>
      <c r="C273" s="92">
        <v>36762</v>
      </c>
      <c r="D273" s="41" t="s">
        <v>96</v>
      </c>
      <c r="E273" s="41" t="s">
        <v>14</v>
      </c>
      <c r="F273" s="41" t="s">
        <v>15</v>
      </c>
      <c r="G273" s="41" t="s">
        <v>33</v>
      </c>
      <c r="H273" s="93">
        <v>0</v>
      </c>
      <c r="I273" s="94">
        <f t="shared" si="80"/>
        <v>0</v>
      </c>
      <c r="J273" s="95">
        <v>36800</v>
      </c>
      <c r="K273" s="96">
        <f>+K272</f>
        <v>4000</v>
      </c>
      <c r="L273" s="97" t="s">
        <v>25</v>
      </c>
      <c r="M273" s="93" t="s">
        <v>76</v>
      </c>
      <c r="O273" s="62">
        <f t="shared" si="81"/>
        <v>20</v>
      </c>
      <c r="Q273" s="100">
        <v>5.1050000000000004</v>
      </c>
      <c r="T273" s="62">
        <v>0</v>
      </c>
      <c r="AA273" s="91" t="s">
        <v>201</v>
      </c>
      <c r="AB273" s="41" t="s">
        <v>297</v>
      </c>
    </row>
    <row r="274" spans="1:28" x14ac:dyDescent="0.2">
      <c r="A274" s="91">
        <v>37</v>
      </c>
      <c r="B274" s="91" t="s">
        <v>168</v>
      </c>
      <c r="C274" s="92">
        <v>36762</v>
      </c>
      <c r="D274" s="41" t="s">
        <v>96</v>
      </c>
      <c r="E274" s="41" t="s">
        <v>14</v>
      </c>
      <c r="F274" s="41" t="s">
        <v>15</v>
      </c>
      <c r="G274" s="41" t="s">
        <v>33</v>
      </c>
      <c r="H274" s="93">
        <v>0</v>
      </c>
      <c r="I274" s="94">
        <f t="shared" si="80"/>
        <v>0</v>
      </c>
      <c r="J274" s="95">
        <v>36831</v>
      </c>
      <c r="K274" s="96">
        <f>+K273</f>
        <v>4000</v>
      </c>
      <c r="L274" s="97" t="s">
        <v>25</v>
      </c>
      <c r="M274" s="93" t="s">
        <v>76</v>
      </c>
      <c r="O274" s="62">
        <f t="shared" si="81"/>
        <v>20</v>
      </c>
      <c r="Q274" s="100">
        <v>4.3099999999999996</v>
      </c>
      <c r="T274" s="62">
        <v>0</v>
      </c>
      <c r="AA274" s="91" t="s">
        <v>201</v>
      </c>
      <c r="AB274" s="41" t="s">
        <v>297</v>
      </c>
    </row>
    <row r="275" spans="1:28" x14ac:dyDescent="0.2">
      <c r="A275" s="91">
        <v>37</v>
      </c>
      <c r="B275" s="91" t="s">
        <v>168</v>
      </c>
      <c r="C275" s="92">
        <v>36762</v>
      </c>
      <c r="D275" s="41" t="s">
        <v>96</v>
      </c>
      <c r="E275" s="41" t="s">
        <v>14</v>
      </c>
      <c r="F275" s="41" t="s">
        <v>15</v>
      </c>
      <c r="G275" s="41" t="s">
        <v>33</v>
      </c>
      <c r="H275" s="93">
        <v>0</v>
      </c>
      <c r="I275" s="94">
        <f t="shared" si="80"/>
        <v>0</v>
      </c>
      <c r="J275" s="95">
        <v>36861</v>
      </c>
      <c r="K275" s="96">
        <f>+K274</f>
        <v>4000</v>
      </c>
      <c r="L275" s="97" t="s">
        <v>25</v>
      </c>
      <c r="M275" s="93" t="s">
        <v>76</v>
      </c>
      <c r="O275" s="62">
        <f t="shared" si="81"/>
        <v>20</v>
      </c>
      <c r="Q275" s="100">
        <v>5.7750000000000004</v>
      </c>
      <c r="T275" s="62">
        <f>(5.2-Q275)*K275</f>
        <v>-2300.0000000000009</v>
      </c>
      <c r="AA275" s="91" t="s">
        <v>201</v>
      </c>
      <c r="AB275" s="41" t="s">
        <v>297</v>
      </c>
    </row>
    <row r="276" spans="1:28" x14ac:dyDescent="0.2">
      <c r="A276" s="91">
        <v>37</v>
      </c>
      <c r="B276" s="91" t="s">
        <v>168</v>
      </c>
      <c r="C276" s="92">
        <v>36762</v>
      </c>
      <c r="D276" s="41" t="s">
        <v>96</v>
      </c>
      <c r="E276" s="41" t="s">
        <v>14</v>
      </c>
      <c r="F276" s="41" t="s">
        <v>15</v>
      </c>
      <c r="G276" s="41" t="s">
        <v>33</v>
      </c>
      <c r="H276" s="93">
        <v>0</v>
      </c>
      <c r="I276" s="94">
        <f t="shared" si="80"/>
        <v>0</v>
      </c>
      <c r="J276" s="95">
        <v>36892</v>
      </c>
      <c r="K276" s="96">
        <f>+K275</f>
        <v>4000</v>
      </c>
      <c r="L276" s="97" t="s">
        <v>25</v>
      </c>
      <c r="M276" s="93" t="s">
        <v>76</v>
      </c>
      <c r="O276" s="62">
        <f t="shared" si="81"/>
        <v>20</v>
      </c>
      <c r="Q276" s="100">
        <v>9.5649999999999995</v>
      </c>
      <c r="T276" s="62">
        <f>(5.2-Q276)*K276</f>
        <v>-17459.999999999996</v>
      </c>
      <c r="AA276" s="91" t="s">
        <v>201</v>
      </c>
      <c r="AB276" s="41" t="s">
        <v>297</v>
      </c>
    </row>
    <row r="277" spans="1:28" x14ac:dyDescent="0.2">
      <c r="A277" s="91">
        <v>37</v>
      </c>
      <c r="B277" s="91" t="s">
        <v>168</v>
      </c>
      <c r="C277" s="92">
        <v>36762</v>
      </c>
      <c r="D277" s="41" t="s">
        <v>96</v>
      </c>
      <c r="E277" s="41" t="s">
        <v>14</v>
      </c>
      <c r="F277" s="41" t="s">
        <v>15</v>
      </c>
      <c r="G277" s="41" t="s">
        <v>33</v>
      </c>
      <c r="H277" s="93">
        <v>0</v>
      </c>
      <c r="I277" s="94">
        <f t="shared" si="80"/>
        <v>0</v>
      </c>
      <c r="J277" s="95">
        <v>36923</v>
      </c>
      <c r="K277" s="96">
        <f>+K276</f>
        <v>4000</v>
      </c>
      <c r="L277" s="97" t="s">
        <v>25</v>
      </c>
      <c r="M277" s="93" t="s">
        <v>76</v>
      </c>
      <c r="O277" s="62">
        <f t="shared" si="81"/>
        <v>20</v>
      </c>
      <c r="AA277" s="91" t="s">
        <v>201</v>
      </c>
      <c r="AB277" s="41" t="s">
        <v>297</v>
      </c>
    </row>
    <row r="279" spans="1:28" x14ac:dyDescent="0.2">
      <c r="A279" s="91">
        <v>38</v>
      </c>
      <c r="B279" s="91" t="s">
        <v>169</v>
      </c>
      <c r="C279" s="92">
        <v>36762</v>
      </c>
      <c r="D279" s="41" t="s">
        <v>97</v>
      </c>
      <c r="E279" s="41" t="s">
        <v>14</v>
      </c>
      <c r="F279" s="41" t="s">
        <v>15</v>
      </c>
      <c r="G279" s="41" t="s">
        <v>33</v>
      </c>
      <c r="H279" s="93">
        <v>0</v>
      </c>
      <c r="I279" s="94">
        <f t="shared" ref="I279:I284" si="82">+H279*K279</f>
        <v>0</v>
      </c>
      <c r="J279" s="95">
        <v>36770</v>
      </c>
      <c r="K279" s="96">
        <v>38000</v>
      </c>
      <c r="L279" s="97" t="s">
        <v>25</v>
      </c>
      <c r="M279" s="93" t="s">
        <v>76</v>
      </c>
      <c r="O279" s="62">
        <f t="shared" ref="O279:O284" si="83">0.005*K279</f>
        <v>190</v>
      </c>
      <c r="Q279" s="100">
        <v>4.45</v>
      </c>
      <c r="T279" s="62">
        <v>0</v>
      </c>
      <c r="Y279" s="41" t="s">
        <v>210</v>
      </c>
      <c r="AA279" s="91" t="s">
        <v>201</v>
      </c>
      <c r="AB279" s="41" t="s">
        <v>297</v>
      </c>
    </row>
    <row r="280" spans="1:28" x14ac:dyDescent="0.2">
      <c r="A280" s="91">
        <v>38</v>
      </c>
      <c r="B280" s="91" t="s">
        <v>169</v>
      </c>
      <c r="C280" s="92">
        <v>36762</v>
      </c>
      <c r="D280" s="41" t="s">
        <v>97</v>
      </c>
      <c r="E280" s="41" t="s">
        <v>14</v>
      </c>
      <c r="F280" s="41" t="s">
        <v>15</v>
      </c>
      <c r="G280" s="41" t="s">
        <v>33</v>
      </c>
      <c r="H280" s="93">
        <v>0</v>
      </c>
      <c r="I280" s="94">
        <f t="shared" si="82"/>
        <v>0</v>
      </c>
      <c r="J280" s="95">
        <v>36800</v>
      </c>
      <c r="K280" s="96">
        <f>+K279</f>
        <v>38000</v>
      </c>
      <c r="L280" s="97" t="s">
        <v>25</v>
      </c>
      <c r="M280" s="93" t="s">
        <v>76</v>
      </c>
      <c r="O280" s="62">
        <f t="shared" si="83"/>
        <v>190</v>
      </c>
      <c r="Q280" s="100">
        <v>5.1050000000000004</v>
      </c>
      <c r="T280" s="62">
        <v>0</v>
      </c>
      <c r="AA280" s="91" t="s">
        <v>201</v>
      </c>
      <c r="AB280" s="41" t="s">
        <v>297</v>
      </c>
    </row>
    <row r="281" spans="1:28" x14ac:dyDescent="0.2">
      <c r="A281" s="91">
        <v>38</v>
      </c>
      <c r="B281" s="91" t="s">
        <v>169</v>
      </c>
      <c r="C281" s="92">
        <v>36762</v>
      </c>
      <c r="D281" s="41" t="s">
        <v>97</v>
      </c>
      <c r="E281" s="41" t="s">
        <v>14</v>
      </c>
      <c r="F281" s="41" t="s">
        <v>15</v>
      </c>
      <c r="G281" s="41" t="s">
        <v>33</v>
      </c>
      <c r="H281" s="93">
        <v>0</v>
      </c>
      <c r="I281" s="94">
        <f t="shared" si="82"/>
        <v>0</v>
      </c>
      <c r="J281" s="95">
        <v>36831</v>
      </c>
      <c r="K281" s="96">
        <f>+K280</f>
        <v>38000</v>
      </c>
      <c r="L281" s="97" t="s">
        <v>25</v>
      </c>
      <c r="M281" s="93" t="s">
        <v>76</v>
      </c>
      <c r="O281" s="62">
        <f t="shared" si="83"/>
        <v>190</v>
      </c>
      <c r="Q281" s="100">
        <v>4.3099999999999996</v>
      </c>
      <c r="T281" s="62">
        <v>0</v>
      </c>
      <c r="AA281" s="91" t="s">
        <v>201</v>
      </c>
      <c r="AB281" s="41" t="s">
        <v>297</v>
      </c>
    </row>
    <row r="282" spans="1:28" x14ac:dyDescent="0.2">
      <c r="A282" s="91">
        <v>38</v>
      </c>
      <c r="B282" s="91" t="s">
        <v>169</v>
      </c>
      <c r="C282" s="92">
        <v>36762</v>
      </c>
      <c r="D282" s="41" t="s">
        <v>97</v>
      </c>
      <c r="E282" s="41" t="s">
        <v>14</v>
      </c>
      <c r="F282" s="41" t="s">
        <v>15</v>
      </c>
      <c r="G282" s="41" t="s">
        <v>33</v>
      </c>
      <c r="H282" s="93">
        <v>0</v>
      </c>
      <c r="I282" s="94">
        <f t="shared" si="82"/>
        <v>0</v>
      </c>
      <c r="J282" s="95">
        <v>36861</v>
      </c>
      <c r="K282" s="96">
        <f>+K281</f>
        <v>38000</v>
      </c>
      <c r="L282" s="97" t="s">
        <v>25</v>
      </c>
      <c r="M282" s="93" t="s">
        <v>76</v>
      </c>
      <c r="O282" s="62">
        <f t="shared" si="83"/>
        <v>190</v>
      </c>
      <c r="Q282" s="100">
        <v>5.7750000000000004</v>
      </c>
      <c r="T282" s="62">
        <f>(5.2-Q282)*K282</f>
        <v>-21850.000000000007</v>
      </c>
      <c r="AA282" s="91" t="s">
        <v>201</v>
      </c>
      <c r="AB282" s="41" t="s">
        <v>297</v>
      </c>
    </row>
    <row r="283" spans="1:28" x14ac:dyDescent="0.2">
      <c r="A283" s="91">
        <v>38</v>
      </c>
      <c r="B283" s="91" t="s">
        <v>169</v>
      </c>
      <c r="C283" s="92">
        <v>36762</v>
      </c>
      <c r="D283" s="41" t="s">
        <v>97</v>
      </c>
      <c r="E283" s="41" t="s">
        <v>14</v>
      </c>
      <c r="F283" s="41" t="s">
        <v>15</v>
      </c>
      <c r="G283" s="41" t="s">
        <v>33</v>
      </c>
      <c r="H283" s="93">
        <v>0</v>
      </c>
      <c r="I283" s="94">
        <f t="shared" si="82"/>
        <v>0</v>
      </c>
      <c r="J283" s="95">
        <v>36892</v>
      </c>
      <c r="K283" s="96">
        <f>+K282</f>
        <v>38000</v>
      </c>
      <c r="L283" s="97" t="s">
        <v>25</v>
      </c>
      <c r="M283" s="93" t="s">
        <v>76</v>
      </c>
      <c r="O283" s="62">
        <f t="shared" si="83"/>
        <v>190</v>
      </c>
      <c r="Q283" s="100">
        <v>9.5649999999999995</v>
      </c>
      <c r="T283" s="62">
        <f>(5.2-Q283)*K283</f>
        <v>-165869.99999999997</v>
      </c>
      <c r="AA283" s="91" t="s">
        <v>201</v>
      </c>
      <c r="AB283" s="41" t="s">
        <v>297</v>
      </c>
    </row>
    <row r="284" spans="1:28" x14ac:dyDescent="0.2">
      <c r="A284" s="91">
        <v>38</v>
      </c>
      <c r="B284" s="91" t="s">
        <v>169</v>
      </c>
      <c r="C284" s="92">
        <v>36762</v>
      </c>
      <c r="D284" s="41" t="s">
        <v>97</v>
      </c>
      <c r="E284" s="41" t="s">
        <v>14</v>
      </c>
      <c r="F284" s="41" t="s">
        <v>15</v>
      </c>
      <c r="G284" s="41" t="s">
        <v>33</v>
      </c>
      <c r="H284" s="93">
        <v>0</v>
      </c>
      <c r="I284" s="94">
        <f t="shared" si="82"/>
        <v>0</v>
      </c>
      <c r="J284" s="95">
        <v>36923</v>
      </c>
      <c r="K284" s="96">
        <f>+K283</f>
        <v>38000</v>
      </c>
      <c r="L284" s="97" t="s">
        <v>25</v>
      </c>
      <c r="M284" s="93" t="s">
        <v>76</v>
      </c>
      <c r="O284" s="62">
        <f t="shared" si="83"/>
        <v>190</v>
      </c>
      <c r="AA284" s="91" t="s">
        <v>201</v>
      </c>
      <c r="AB284" s="41" t="s">
        <v>297</v>
      </c>
    </row>
    <row r="286" spans="1:28" x14ac:dyDescent="0.2">
      <c r="A286" s="91">
        <v>39</v>
      </c>
      <c r="B286" s="91" t="s">
        <v>170</v>
      </c>
      <c r="C286" s="92">
        <v>36762</v>
      </c>
      <c r="D286" s="41" t="s">
        <v>98</v>
      </c>
      <c r="E286" s="41" t="s">
        <v>14</v>
      </c>
      <c r="F286" s="41" t="s">
        <v>15</v>
      </c>
      <c r="G286" s="41" t="s">
        <v>33</v>
      </c>
      <c r="H286" s="93">
        <v>0</v>
      </c>
      <c r="I286" s="94">
        <f t="shared" ref="I286:I291" si="84">+H286*K286</f>
        <v>0</v>
      </c>
      <c r="J286" s="95">
        <v>36770</v>
      </c>
      <c r="K286" s="96">
        <v>6000</v>
      </c>
      <c r="L286" s="97" t="s">
        <v>25</v>
      </c>
      <c r="M286" s="93" t="s">
        <v>76</v>
      </c>
      <c r="O286" s="62">
        <f t="shared" ref="O286:O291" si="85">0.005*K286</f>
        <v>30</v>
      </c>
      <c r="Q286" s="100">
        <v>4.45</v>
      </c>
      <c r="T286" s="62">
        <v>0</v>
      </c>
      <c r="Y286" s="41" t="s">
        <v>210</v>
      </c>
      <c r="AA286" s="91" t="s">
        <v>201</v>
      </c>
      <c r="AB286" s="41" t="s">
        <v>297</v>
      </c>
    </row>
    <row r="287" spans="1:28" x14ac:dyDescent="0.2">
      <c r="A287" s="91">
        <v>39</v>
      </c>
      <c r="B287" s="91" t="s">
        <v>170</v>
      </c>
      <c r="C287" s="92">
        <v>36762</v>
      </c>
      <c r="D287" s="41" t="s">
        <v>98</v>
      </c>
      <c r="E287" s="41" t="s">
        <v>14</v>
      </c>
      <c r="F287" s="41" t="s">
        <v>15</v>
      </c>
      <c r="G287" s="41" t="s">
        <v>33</v>
      </c>
      <c r="H287" s="93">
        <v>0</v>
      </c>
      <c r="I287" s="94">
        <f t="shared" si="84"/>
        <v>0</v>
      </c>
      <c r="J287" s="95">
        <v>36800</v>
      </c>
      <c r="K287" s="96">
        <f>+K286</f>
        <v>6000</v>
      </c>
      <c r="L287" s="97" t="s">
        <v>25</v>
      </c>
      <c r="M287" s="93" t="s">
        <v>76</v>
      </c>
      <c r="O287" s="62">
        <f t="shared" si="85"/>
        <v>30</v>
      </c>
      <c r="Q287" s="100">
        <v>5.1050000000000004</v>
      </c>
      <c r="T287" s="62">
        <v>0</v>
      </c>
      <c r="AA287" s="91" t="s">
        <v>201</v>
      </c>
      <c r="AB287" s="41" t="s">
        <v>297</v>
      </c>
    </row>
    <row r="288" spans="1:28" x14ac:dyDescent="0.2">
      <c r="A288" s="91">
        <v>39</v>
      </c>
      <c r="B288" s="91" t="s">
        <v>170</v>
      </c>
      <c r="C288" s="92">
        <v>36762</v>
      </c>
      <c r="D288" s="41" t="s">
        <v>98</v>
      </c>
      <c r="E288" s="41" t="s">
        <v>14</v>
      </c>
      <c r="F288" s="41" t="s">
        <v>15</v>
      </c>
      <c r="G288" s="41" t="s">
        <v>33</v>
      </c>
      <c r="H288" s="93">
        <v>0</v>
      </c>
      <c r="I288" s="94">
        <f t="shared" si="84"/>
        <v>0</v>
      </c>
      <c r="J288" s="95">
        <v>36831</v>
      </c>
      <c r="K288" s="96">
        <f>+K287</f>
        <v>6000</v>
      </c>
      <c r="L288" s="97" t="s">
        <v>25</v>
      </c>
      <c r="M288" s="93" t="s">
        <v>76</v>
      </c>
      <c r="O288" s="62">
        <f t="shared" si="85"/>
        <v>30</v>
      </c>
      <c r="Q288" s="100">
        <v>4.3099999999999996</v>
      </c>
      <c r="T288" s="62">
        <v>0</v>
      </c>
      <c r="AA288" s="91" t="s">
        <v>201</v>
      </c>
      <c r="AB288" s="41" t="s">
        <v>297</v>
      </c>
    </row>
    <row r="289" spans="1:28" x14ac:dyDescent="0.2">
      <c r="A289" s="91">
        <v>39</v>
      </c>
      <c r="B289" s="91" t="s">
        <v>170</v>
      </c>
      <c r="C289" s="92">
        <v>36762</v>
      </c>
      <c r="D289" s="41" t="s">
        <v>98</v>
      </c>
      <c r="E289" s="41" t="s">
        <v>14</v>
      </c>
      <c r="F289" s="41" t="s">
        <v>15</v>
      </c>
      <c r="G289" s="41" t="s">
        <v>33</v>
      </c>
      <c r="H289" s="93">
        <v>0</v>
      </c>
      <c r="I289" s="94">
        <f t="shared" si="84"/>
        <v>0</v>
      </c>
      <c r="J289" s="95">
        <v>36861</v>
      </c>
      <c r="K289" s="96">
        <f>+K288</f>
        <v>6000</v>
      </c>
      <c r="L289" s="97" t="s">
        <v>25</v>
      </c>
      <c r="M289" s="93" t="s">
        <v>76</v>
      </c>
      <c r="O289" s="62">
        <f t="shared" si="85"/>
        <v>30</v>
      </c>
      <c r="Q289" s="100">
        <v>5.7750000000000004</v>
      </c>
      <c r="T289" s="62">
        <f>(5.2-Q289)*K289</f>
        <v>-3450.0000000000009</v>
      </c>
      <c r="AA289" s="91" t="s">
        <v>201</v>
      </c>
      <c r="AB289" s="41" t="s">
        <v>297</v>
      </c>
    </row>
    <row r="290" spans="1:28" x14ac:dyDescent="0.2">
      <c r="A290" s="91">
        <v>39</v>
      </c>
      <c r="B290" s="91" t="s">
        <v>170</v>
      </c>
      <c r="C290" s="92">
        <v>36762</v>
      </c>
      <c r="D290" s="41" t="s">
        <v>98</v>
      </c>
      <c r="E290" s="41" t="s">
        <v>14</v>
      </c>
      <c r="F290" s="41" t="s">
        <v>15</v>
      </c>
      <c r="G290" s="41" t="s">
        <v>33</v>
      </c>
      <c r="H290" s="93">
        <v>0</v>
      </c>
      <c r="I290" s="94">
        <f t="shared" si="84"/>
        <v>0</v>
      </c>
      <c r="J290" s="95">
        <v>36892</v>
      </c>
      <c r="K290" s="96">
        <f>+K289</f>
        <v>6000</v>
      </c>
      <c r="L290" s="97" t="s">
        <v>25</v>
      </c>
      <c r="M290" s="93" t="s">
        <v>76</v>
      </c>
      <c r="O290" s="62">
        <f t="shared" si="85"/>
        <v>30</v>
      </c>
      <c r="Q290" s="100">
        <v>9.5649999999999995</v>
      </c>
      <c r="T290" s="62">
        <f>(5.2-Q290)*K290</f>
        <v>-26189.999999999996</v>
      </c>
      <c r="AA290" s="91" t="s">
        <v>201</v>
      </c>
      <c r="AB290" s="41" t="s">
        <v>297</v>
      </c>
    </row>
    <row r="291" spans="1:28" x14ac:dyDescent="0.2">
      <c r="A291" s="91">
        <v>39</v>
      </c>
      <c r="B291" s="91" t="s">
        <v>170</v>
      </c>
      <c r="C291" s="92">
        <v>36762</v>
      </c>
      <c r="D291" s="41" t="s">
        <v>98</v>
      </c>
      <c r="E291" s="41" t="s">
        <v>14</v>
      </c>
      <c r="F291" s="41" t="s">
        <v>15</v>
      </c>
      <c r="G291" s="41" t="s">
        <v>33</v>
      </c>
      <c r="H291" s="93">
        <v>0</v>
      </c>
      <c r="I291" s="94">
        <f t="shared" si="84"/>
        <v>0</v>
      </c>
      <c r="J291" s="95">
        <v>36923</v>
      </c>
      <c r="K291" s="96">
        <f>+K290</f>
        <v>6000</v>
      </c>
      <c r="L291" s="97" t="s">
        <v>25</v>
      </c>
      <c r="M291" s="93" t="s">
        <v>76</v>
      </c>
      <c r="O291" s="62">
        <f t="shared" si="85"/>
        <v>30</v>
      </c>
      <c r="AA291" s="91" t="s">
        <v>201</v>
      </c>
      <c r="AB291" s="41" t="s">
        <v>297</v>
      </c>
    </row>
    <row r="293" spans="1:28" x14ac:dyDescent="0.2">
      <c r="A293" s="91">
        <v>40</v>
      </c>
      <c r="B293" s="91" t="s">
        <v>171</v>
      </c>
      <c r="C293" s="92">
        <v>36762</v>
      </c>
      <c r="D293" s="41" t="s">
        <v>99</v>
      </c>
      <c r="E293" s="41" t="s">
        <v>14</v>
      </c>
      <c r="F293" s="41" t="s">
        <v>15</v>
      </c>
      <c r="G293" s="41" t="s">
        <v>33</v>
      </c>
      <c r="H293" s="93">
        <v>0</v>
      </c>
      <c r="I293" s="94">
        <f t="shared" ref="I293:I298" si="86">+H293*K293</f>
        <v>0</v>
      </c>
      <c r="J293" s="95">
        <v>36770</v>
      </c>
      <c r="K293" s="96">
        <v>10000</v>
      </c>
      <c r="L293" s="97" t="s">
        <v>25</v>
      </c>
      <c r="M293" s="93" t="s">
        <v>76</v>
      </c>
      <c r="O293" s="62">
        <f t="shared" ref="O293:O298" si="87">0.005*K293</f>
        <v>50</v>
      </c>
      <c r="Q293" s="100">
        <v>4.45</v>
      </c>
      <c r="T293" s="62">
        <v>0</v>
      </c>
      <c r="Y293" s="41" t="s">
        <v>210</v>
      </c>
      <c r="AA293" s="91" t="s">
        <v>201</v>
      </c>
      <c r="AB293" s="41" t="s">
        <v>297</v>
      </c>
    </row>
    <row r="294" spans="1:28" x14ac:dyDescent="0.2">
      <c r="A294" s="91">
        <v>40</v>
      </c>
      <c r="B294" s="91" t="s">
        <v>171</v>
      </c>
      <c r="C294" s="92">
        <v>36762</v>
      </c>
      <c r="D294" s="41" t="s">
        <v>99</v>
      </c>
      <c r="E294" s="41" t="s">
        <v>14</v>
      </c>
      <c r="F294" s="41" t="s">
        <v>15</v>
      </c>
      <c r="G294" s="41" t="s">
        <v>33</v>
      </c>
      <c r="H294" s="93">
        <v>0</v>
      </c>
      <c r="I294" s="94">
        <f t="shared" si="86"/>
        <v>0</v>
      </c>
      <c r="J294" s="95">
        <v>36800</v>
      </c>
      <c r="K294" s="96">
        <f>+K293</f>
        <v>10000</v>
      </c>
      <c r="L294" s="97" t="s">
        <v>25</v>
      </c>
      <c r="M294" s="93" t="s">
        <v>76</v>
      </c>
      <c r="O294" s="62">
        <f t="shared" si="87"/>
        <v>50</v>
      </c>
      <c r="Q294" s="100">
        <v>5.1050000000000004</v>
      </c>
      <c r="T294" s="62">
        <v>0</v>
      </c>
      <c r="AA294" s="91" t="s">
        <v>201</v>
      </c>
      <c r="AB294" s="41" t="s">
        <v>297</v>
      </c>
    </row>
    <row r="295" spans="1:28" x14ac:dyDescent="0.2">
      <c r="A295" s="91">
        <v>40</v>
      </c>
      <c r="B295" s="91" t="s">
        <v>171</v>
      </c>
      <c r="C295" s="92">
        <v>36762</v>
      </c>
      <c r="D295" s="41" t="s">
        <v>99</v>
      </c>
      <c r="E295" s="41" t="s">
        <v>14</v>
      </c>
      <c r="F295" s="41" t="s">
        <v>15</v>
      </c>
      <c r="G295" s="41" t="s">
        <v>33</v>
      </c>
      <c r="H295" s="93">
        <v>0</v>
      </c>
      <c r="I295" s="94">
        <f t="shared" si="86"/>
        <v>0</v>
      </c>
      <c r="J295" s="95">
        <v>36831</v>
      </c>
      <c r="K295" s="96">
        <f>+K294</f>
        <v>10000</v>
      </c>
      <c r="L295" s="97" t="s">
        <v>25</v>
      </c>
      <c r="M295" s="93" t="s">
        <v>76</v>
      </c>
      <c r="O295" s="62">
        <f t="shared" si="87"/>
        <v>50</v>
      </c>
      <c r="Q295" s="100">
        <v>4.3099999999999996</v>
      </c>
      <c r="T295" s="62">
        <v>0</v>
      </c>
      <c r="AA295" s="91" t="s">
        <v>201</v>
      </c>
      <c r="AB295" s="41" t="s">
        <v>297</v>
      </c>
    </row>
    <row r="296" spans="1:28" x14ac:dyDescent="0.2">
      <c r="A296" s="91">
        <v>40</v>
      </c>
      <c r="B296" s="91" t="s">
        <v>171</v>
      </c>
      <c r="C296" s="92">
        <v>36762</v>
      </c>
      <c r="D296" s="41" t="s">
        <v>99</v>
      </c>
      <c r="E296" s="41" t="s">
        <v>14</v>
      </c>
      <c r="F296" s="41" t="s">
        <v>15</v>
      </c>
      <c r="G296" s="41" t="s">
        <v>33</v>
      </c>
      <c r="H296" s="93">
        <v>0</v>
      </c>
      <c r="I296" s="94">
        <f t="shared" si="86"/>
        <v>0</v>
      </c>
      <c r="J296" s="95">
        <v>36861</v>
      </c>
      <c r="K296" s="96">
        <f>+K295</f>
        <v>10000</v>
      </c>
      <c r="L296" s="97" t="s">
        <v>25</v>
      </c>
      <c r="M296" s="93" t="s">
        <v>76</v>
      </c>
      <c r="O296" s="62">
        <f t="shared" si="87"/>
        <v>50</v>
      </c>
      <c r="Q296" s="100">
        <v>5.7750000000000004</v>
      </c>
      <c r="T296" s="62">
        <f>(5.2-Q296)*K296</f>
        <v>-5750.0000000000018</v>
      </c>
      <c r="AA296" s="91" t="s">
        <v>201</v>
      </c>
      <c r="AB296" s="41" t="s">
        <v>297</v>
      </c>
    </row>
    <row r="297" spans="1:28" x14ac:dyDescent="0.2">
      <c r="A297" s="91">
        <v>40</v>
      </c>
      <c r="B297" s="91" t="s">
        <v>171</v>
      </c>
      <c r="C297" s="92">
        <v>36762</v>
      </c>
      <c r="D297" s="41" t="s">
        <v>99</v>
      </c>
      <c r="E297" s="41" t="s">
        <v>14</v>
      </c>
      <c r="F297" s="41" t="s">
        <v>15</v>
      </c>
      <c r="G297" s="41" t="s">
        <v>33</v>
      </c>
      <c r="H297" s="93">
        <v>0</v>
      </c>
      <c r="I297" s="94">
        <f t="shared" si="86"/>
        <v>0</v>
      </c>
      <c r="J297" s="95">
        <v>36892</v>
      </c>
      <c r="K297" s="96">
        <f>+K296</f>
        <v>10000</v>
      </c>
      <c r="L297" s="97" t="s">
        <v>25</v>
      </c>
      <c r="M297" s="93" t="s">
        <v>76</v>
      </c>
      <c r="O297" s="62">
        <f t="shared" si="87"/>
        <v>50</v>
      </c>
      <c r="Q297" s="100">
        <v>9.5649999999999995</v>
      </c>
      <c r="T297" s="62">
        <f>(5.2-Q297)*K297</f>
        <v>-43649.999999999993</v>
      </c>
      <c r="AA297" s="91" t="s">
        <v>201</v>
      </c>
      <c r="AB297" s="41" t="s">
        <v>297</v>
      </c>
    </row>
    <row r="298" spans="1:28" x14ac:dyDescent="0.2">
      <c r="A298" s="91">
        <v>40</v>
      </c>
      <c r="B298" s="91" t="s">
        <v>171</v>
      </c>
      <c r="C298" s="92">
        <v>36762</v>
      </c>
      <c r="D298" s="41" t="s">
        <v>99</v>
      </c>
      <c r="E298" s="41" t="s">
        <v>14</v>
      </c>
      <c r="F298" s="41" t="s">
        <v>15</v>
      </c>
      <c r="G298" s="41" t="s">
        <v>33</v>
      </c>
      <c r="H298" s="93">
        <v>0</v>
      </c>
      <c r="I298" s="94">
        <f t="shared" si="86"/>
        <v>0</v>
      </c>
      <c r="J298" s="95">
        <v>36923</v>
      </c>
      <c r="K298" s="96">
        <f>+K297</f>
        <v>10000</v>
      </c>
      <c r="L298" s="97" t="s">
        <v>25</v>
      </c>
      <c r="M298" s="93" t="s">
        <v>76</v>
      </c>
      <c r="O298" s="62">
        <f t="shared" si="87"/>
        <v>50</v>
      </c>
      <c r="AA298" s="91" t="s">
        <v>201</v>
      </c>
      <c r="AB298" s="41" t="s">
        <v>297</v>
      </c>
    </row>
    <row r="300" spans="1:28" s="54" customFormat="1" x14ac:dyDescent="0.2">
      <c r="A300" s="52">
        <v>41</v>
      </c>
      <c r="B300" s="52" t="s">
        <v>105</v>
      </c>
      <c r="C300" s="53">
        <v>36762</v>
      </c>
      <c r="D300" s="54" t="s">
        <v>100</v>
      </c>
      <c r="E300" s="54" t="s">
        <v>14</v>
      </c>
      <c r="F300" s="54" t="s">
        <v>15</v>
      </c>
      <c r="G300" s="54" t="s">
        <v>33</v>
      </c>
      <c r="H300" s="55">
        <v>0</v>
      </c>
      <c r="I300" s="56">
        <f t="shared" ref="I300:I305" si="88">+H300*K300</f>
        <v>0</v>
      </c>
      <c r="J300" s="66">
        <v>36770</v>
      </c>
      <c r="K300" s="50">
        <v>40000</v>
      </c>
      <c r="L300" s="57" t="s">
        <v>25</v>
      </c>
      <c r="M300" s="55" t="s">
        <v>101</v>
      </c>
      <c r="N300" s="58"/>
      <c r="O300" s="51">
        <v>0</v>
      </c>
      <c r="Q300" s="59">
        <v>4.45</v>
      </c>
      <c r="R300" s="60"/>
      <c r="T300" s="51">
        <v>0</v>
      </c>
      <c r="U300" s="61"/>
      <c r="V300" s="61"/>
      <c r="Y300" s="54" t="s">
        <v>211</v>
      </c>
      <c r="AA300" s="52"/>
    </row>
    <row r="301" spans="1:28" s="54" customFormat="1" x14ac:dyDescent="0.2">
      <c r="A301" s="52">
        <v>41</v>
      </c>
      <c r="B301" s="52" t="s">
        <v>105</v>
      </c>
      <c r="C301" s="53">
        <v>36762</v>
      </c>
      <c r="D301" s="54" t="s">
        <v>100</v>
      </c>
      <c r="E301" s="54" t="s">
        <v>14</v>
      </c>
      <c r="F301" s="54" t="s">
        <v>15</v>
      </c>
      <c r="G301" s="54" t="s">
        <v>33</v>
      </c>
      <c r="H301" s="55">
        <v>0</v>
      </c>
      <c r="I301" s="56">
        <f t="shared" si="88"/>
        <v>0</v>
      </c>
      <c r="J301" s="66">
        <v>36800</v>
      </c>
      <c r="K301" s="50">
        <v>40000</v>
      </c>
      <c r="L301" s="57" t="s">
        <v>25</v>
      </c>
      <c r="M301" s="55" t="s">
        <v>101</v>
      </c>
      <c r="N301" s="58"/>
      <c r="O301" s="51">
        <v>0</v>
      </c>
      <c r="Q301" s="59">
        <v>5.1050000000000004</v>
      </c>
      <c r="R301" s="60"/>
      <c r="T301" s="51">
        <v>0</v>
      </c>
      <c r="U301" s="61"/>
      <c r="V301" s="61"/>
      <c r="AA301" s="52"/>
    </row>
    <row r="302" spans="1:28" s="54" customFormat="1" x14ac:dyDescent="0.2">
      <c r="A302" s="52">
        <v>41</v>
      </c>
      <c r="B302" s="52" t="s">
        <v>105</v>
      </c>
      <c r="C302" s="53">
        <v>36762</v>
      </c>
      <c r="D302" s="54" t="s">
        <v>100</v>
      </c>
      <c r="E302" s="54" t="s">
        <v>14</v>
      </c>
      <c r="F302" s="54" t="s">
        <v>15</v>
      </c>
      <c r="G302" s="54" t="s">
        <v>33</v>
      </c>
      <c r="H302" s="55">
        <v>0</v>
      </c>
      <c r="I302" s="56">
        <f t="shared" si="88"/>
        <v>0</v>
      </c>
      <c r="J302" s="66">
        <v>36831</v>
      </c>
      <c r="K302" s="50">
        <v>40000</v>
      </c>
      <c r="L302" s="57" t="s">
        <v>25</v>
      </c>
      <c r="M302" s="55" t="s">
        <v>101</v>
      </c>
      <c r="N302" s="58"/>
      <c r="O302" s="51">
        <v>0</v>
      </c>
      <c r="Q302" s="59">
        <v>4.3099999999999996</v>
      </c>
      <c r="R302" s="60"/>
      <c r="T302" s="51">
        <v>0</v>
      </c>
      <c r="U302" s="61"/>
      <c r="V302" s="61"/>
      <c r="AA302" s="52"/>
    </row>
    <row r="303" spans="1:28" s="54" customFormat="1" x14ac:dyDescent="0.2">
      <c r="A303" s="52">
        <v>41</v>
      </c>
      <c r="B303" s="52" t="s">
        <v>105</v>
      </c>
      <c r="C303" s="53">
        <v>36762</v>
      </c>
      <c r="D303" s="54" t="s">
        <v>100</v>
      </c>
      <c r="E303" s="54" t="s">
        <v>14</v>
      </c>
      <c r="F303" s="54" t="s">
        <v>15</v>
      </c>
      <c r="G303" s="54" t="s">
        <v>33</v>
      </c>
      <c r="H303" s="55">
        <v>0</v>
      </c>
      <c r="I303" s="56">
        <f t="shared" si="88"/>
        <v>0</v>
      </c>
      <c r="J303" s="66">
        <v>36861</v>
      </c>
      <c r="K303" s="50">
        <v>40000</v>
      </c>
      <c r="L303" s="57" t="s">
        <v>25</v>
      </c>
      <c r="M303" s="55" t="s">
        <v>101</v>
      </c>
      <c r="N303" s="58"/>
      <c r="O303" s="51">
        <v>0</v>
      </c>
      <c r="Q303" s="59">
        <v>5.7750000000000004</v>
      </c>
      <c r="R303" s="60"/>
      <c r="T303" s="51">
        <v>0</v>
      </c>
      <c r="U303" s="61"/>
      <c r="V303" s="61"/>
      <c r="AA303" s="52"/>
    </row>
    <row r="304" spans="1:28" s="54" customFormat="1" x14ac:dyDescent="0.2">
      <c r="A304" s="52">
        <v>41</v>
      </c>
      <c r="B304" s="52" t="s">
        <v>105</v>
      </c>
      <c r="C304" s="53">
        <v>36762</v>
      </c>
      <c r="D304" s="54" t="s">
        <v>100</v>
      </c>
      <c r="E304" s="54" t="s">
        <v>14</v>
      </c>
      <c r="F304" s="54" t="s">
        <v>15</v>
      </c>
      <c r="G304" s="54" t="s">
        <v>33</v>
      </c>
      <c r="H304" s="55">
        <v>0</v>
      </c>
      <c r="I304" s="56">
        <f t="shared" si="88"/>
        <v>0</v>
      </c>
      <c r="J304" s="66">
        <v>36892</v>
      </c>
      <c r="K304" s="50">
        <v>40000</v>
      </c>
      <c r="L304" s="57" t="s">
        <v>25</v>
      </c>
      <c r="M304" s="55" t="s">
        <v>101</v>
      </c>
      <c r="N304" s="58"/>
      <c r="O304" s="51">
        <v>0</v>
      </c>
      <c r="Q304" s="100">
        <v>9.5649999999999995</v>
      </c>
      <c r="R304" s="60"/>
      <c r="T304" s="62">
        <f>(7.1-Q304)*K304</f>
        <v>-98600</v>
      </c>
      <c r="U304" s="61"/>
      <c r="V304" s="61"/>
      <c r="AA304" s="52"/>
    </row>
    <row r="305" spans="1:28" s="54" customFormat="1" x14ac:dyDescent="0.2">
      <c r="A305" s="52">
        <v>41</v>
      </c>
      <c r="B305" s="52" t="s">
        <v>105</v>
      </c>
      <c r="C305" s="53">
        <v>36762</v>
      </c>
      <c r="D305" s="54" t="s">
        <v>100</v>
      </c>
      <c r="E305" s="54" t="s">
        <v>14</v>
      </c>
      <c r="F305" s="54" t="s">
        <v>15</v>
      </c>
      <c r="G305" s="54" t="s">
        <v>33</v>
      </c>
      <c r="H305" s="55">
        <v>0</v>
      </c>
      <c r="I305" s="56">
        <f t="shared" si="88"/>
        <v>0</v>
      </c>
      <c r="J305" s="66">
        <v>36923</v>
      </c>
      <c r="K305" s="50">
        <v>40000</v>
      </c>
      <c r="L305" s="57" t="s">
        <v>25</v>
      </c>
      <c r="M305" s="55" t="s">
        <v>101</v>
      </c>
      <c r="N305" s="58"/>
      <c r="O305" s="51">
        <v>0</v>
      </c>
      <c r="Q305" s="59"/>
      <c r="R305" s="60"/>
      <c r="T305" s="51"/>
      <c r="U305" s="61"/>
      <c r="V305" s="61"/>
      <c r="AA305" s="52"/>
    </row>
    <row r="306" spans="1:28" s="54" customFormat="1" x14ac:dyDescent="0.2">
      <c r="A306" s="52"/>
      <c r="B306" s="52"/>
      <c r="C306" s="53"/>
      <c r="H306" s="55"/>
      <c r="I306" s="56"/>
      <c r="J306" s="67"/>
      <c r="K306" s="50"/>
      <c r="L306" s="57"/>
      <c r="M306" s="55"/>
      <c r="N306" s="58"/>
      <c r="O306" s="51"/>
      <c r="Q306" s="59"/>
      <c r="R306" s="60"/>
      <c r="T306" s="51"/>
      <c r="U306" s="61"/>
      <c r="V306" s="61"/>
      <c r="AA306" s="52"/>
    </row>
    <row r="307" spans="1:28" s="54" customFormat="1" x14ac:dyDescent="0.2">
      <c r="A307" s="52">
        <v>42</v>
      </c>
      <c r="B307" s="52" t="s">
        <v>114</v>
      </c>
      <c r="C307" s="53">
        <v>36763</v>
      </c>
      <c r="D307" s="54" t="s">
        <v>109</v>
      </c>
      <c r="E307" s="54" t="s">
        <v>14</v>
      </c>
      <c r="F307" s="54" t="s">
        <v>15</v>
      </c>
      <c r="G307" s="54" t="s">
        <v>33</v>
      </c>
      <c r="H307" s="55">
        <v>0</v>
      </c>
      <c r="I307" s="56">
        <f t="shared" ref="I307:I312" si="89">+H307*K307</f>
        <v>0</v>
      </c>
      <c r="J307" s="66">
        <v>36770</v>
      </c>
      <c r="K307" s="50">
        <v>45000</v>
      </c>
      <c r="L307" s="57" t="s">
        <v>25</v>
      </c>
      <c r="M307" s="55" t="s">
        <v>110</v>
      </c>
      <c r="N307" s="58"/>
      <c r="O307" s="51">
        <f t="shared" ref="O307:O312" si="90">0.01*K307</f>
        <v>450</v>
      </c>
      <c r="Q307" s="59">
        <v>4.45</v>
      </c>
      <c r="R307" s="60"/>
      <c r="T307" s="51">
        <v>0</v>
      </c>
      <c r="U307" s="61"/>
      <c r="V307" s="61"/>
      <c r="Y307" s="54" t="s">
        <v>211</v>
      </c>
      <c r="AA307" s="52"/>
      <c r="AB307" s="41" t="s">
        <v>297</v>
      </c>
    </row>
    <row r="308" spans="1:28" s="54" customFormat="1" x14ac:dyDescent="0.2">
      <c r="A308" s="52">
        <v>42</v>
      </c>
      <c r="B308" s="52" t="s">
        <v>114</v>
      </c>
      <c r="C308" s="53">
        <v>36763</v>
      </c>
      <c r="D308" s="54" t="s">
        <v>109</v>
      </c>
      <c r="E308" s="54" t="s">
        <v>14</v>
      </c>
      <c r="F308" s="54" t="s">
        <v>15</v>
      </c>
      <c r="G308" s="54" t="s">
        <v>33</v>
      </c>
      <c r="H308" s="55">
        <v>0</v>
      </c>
      <c r="I308" s="56">
        <f t="shared" si="89"/>
        <v>0</v>
      </c>
      <c r="J308" s="66">
        <v>36800</v>
      </c>
      <c r="K308" s="50">
        <v>45000</v>
      </c>
      <c r="L308" s="57" t="s">
        <v>25</v>
      </c>
      <c r="M308" s="55" t="s">
        <v>110</v>
      </c>
      <c r="N308" s="58"/>
      <c r="O308" s="51">
        <f t="shared" si="90"/>
        <v>450</v>
      </c>
      <c r="Q308" s="59">
        <v>5.1050000000000004</v>
      </c>
      <c r="R308" s="60"/>
      <c r="T308" s="51">
        <v>0</v>
      </c>
      <c r="U308" s="61"/>
      <c r="V308" s="61"/>
      <c r="AA308" s="52"/>
      <c r="AB308" s="41" t="s">
        <v>297</v>
      </c>
    </row>
    <row r="309" spans="1:28" s="54" customFormat="1" x14ac:dyDescent="0.2">
      <c r="A309" s="52">
        <v>42</v>
      </c>
      <c r="B309" s="52" t="s">
        <v>114</v>
      </c>
      <c r="C309" s="53">
        <v>36763</v>
      </c>
      <c r="D309" s="54" t="s">
        <v>109</v>
      </c>
      <c r="E309" s="54" t="s">
        <v>14</v>
      </c>
      <c r="F309" s="54" t="s">
        <v>15</v>
      </c>
      <c r="G309" s="54" t="s">
        <v>33</v>
      </c>
      <c r="H309" s="55">
        <v>0</v>
      </c>
      <c r="I309" s="56">
        <f t="shared" si="89"/>
        <v>0</v>
      </c>
      <c r="J309" s="66">
        <v>36831</v>
      </c>
      <c r="K309" s="50">
        <v>45000</v>
      </c>
      <c r="L309" s="57" t="s">
        <v>25</v>
      </c>
      <c r="M309" s="55" t="s">
        <v>110</v>
      </c>
      <c r="N309" s="58"/>
      <c r="O309" s="51">
        <f t="shared" si="90"/>
        <v>450</v>
      </c>
      <c r="Q309" s="59">
        <v>4.3099999999999996</v>
      </c>
      <c r="R309" s="60"/>
      <c r="T309" s="51">
        <v>0</v>
      </c>
      <c r="U309" s="61"/>
      <c r="V309" s="61"/>
      <c r="AA309" s="52"/>
      <c r="AB309" s="41" t="s">
        <v>297</v>
      </c>
    </row>
    <row r="310" spans="1:28" s="54" customFormat="1" x14ac:dyDescent="0.2">
      <c r="A310" s="52">
        <v>42</v>
      </c>
      <c r="B310" s="52" t="s">
        <v>114</v>
      </c>
      <c r="C310" s="53">
        <v>36763</v>
      </c>
      <c r="D310" s="54" t="s">
        <v>109</v>
      </c>
      <c r="E310" s="54" t="s">
        <v>14</v>
      </c>
      <c r="F310" s="54" t="s">
        <v>15</v>
      </c>
      <c r="G310" s="54" t="s">
        <v>33</v>
      </c>
      <c r="H310" s="55">
        <v>0</v>
      </c>
      <c r="I310" s="56">
        <f t="shared" si="89"/>
        <v>0</v>
      </c>
      <c r="J310" s="66">
        <v>36861</v>
      </c>
      <c r="K310" s="50">
        <v>45000</v>
      </c>
      <c r="L310" s="57" t="s">
        <v>25</v>
      </c>
      <c r="M310" s="55" t="s">
        <v>110</v>
      </c>
      <c r="N310" s="58"/>
      <c r="O310" s="51">
        <f t="shared" si="90"/>
        <v>450</v>
      </c>
      <c r="Q310" s="59">
        <v>5.7750000000000004</v>
      </c>
      <c r="R310" s="60"/>
      <c r="T310" s="51">
        <v>0</v>
      </c>
      <c r="U310" s="61"/>
      <c r="V310" s="61"/>
      <c r="AA310" s="52"/>
      <c r="AB310" s="41" t="s">
        <v>297</v>
      </c>
    </row>
    <row r="311" spans="1:28" s="54" customFormat="1" x14ac:dyDescent="0.2">
      <c r="A311" s="52">
        <v>42</v>
      </c>
      <c r="B311" s="52" t="s">
        <v>114</v>
      </c>
      <c r="C311" s="53">
        <v>36763</v>
      </c>
      <c r="D311" s="54" t="s">
        <v>109</v>
      </c>
      <c r="E311" s="54" t="s">
        <v>14</v>
      </c>
      <c r="F311" s="54" t="s">
        <v>15</v>
      </c>
      <c r="G311" s="54" t="s">
        <v>33</v>
      </c>
      <c r="H311" s="55">
        <v>0</v>
      </c>
      <c r="I311" s="56">
        <f t="shared" si="89"/>
        <v>0</v>
      </c>
      <c r="J311" s="66">
        <v>36892</v>
      </c>
      <c r="K311" s="50">
        <v>45000</v>
      </c>
      <c r="L311" s="57" t="s">
        <v>25</v>
      </c>
      <c r="M311" s="55" t="s">
        <v>110</v>
      </c>
      <c r="N311" s="58"/>
      <c r="O311" s="51">
        <f t="shared" si="90"/>
        <v>450</v>
      </c>
      <c r="Q311" s="100">
        <v>9.5649999999999995</v>
      </c>
      <c r="R311" s="60"/>
      <c r="T311" s="62">
        <f>(8.3-Q311)*K311</f>
        <v>-56924.999999999949</v>
      </c>
      <c r="U311" s="61"/>
      <c r="V311" s="61"/>
      <c r="AA311" s="52"/>
      <c r="AB311" s="41" t="s">
        <v>297</v>
      </c>
    </row>
    <row r="312" spans="1:28" s="54" customFormat="1" x14ac:dyDescent="0.2">
      <c r="A312" s="52">
        <v>42</v>
      </c>
      <c r="B312" s="52" t="s">
        <v>114</v>
      </c>
      <c r="C312" s="53">
        <v>36763</v>
      </c>
      <c r="D312" s="54" t="s">
        <v>109</v>
      </c>
      <c r="E312" s="54" t="s">
        <v>14</v>
      </c>
      <c r="F312" s="54" t="s">
        <v>15</v>
      </c>
      <c r="G312" s="54" t="s">
        <v>33</v>
      </c>
      <c r="H312" s="55">
        <v>0</v>
      </c>
      <c r="I312" s="56">
        <f t="shared" si="89"/>
        <v>0</v>
      </c>
      <c r="J312" s="66">
        <v>36923</v>
      </c>
      <c r="K312" s="50">
        <v>45000</v>
      </c>
      <c r="L312" s="57" t="s">
        <v>25</v>
      </c>
      <c r="M312" s="55" t="s">
        <v>110</v>
      </c>
      <c r="N312" s="58"/>
      <c r="O312" s="51">
        <f t="shared" si="90"/>
        <v>450</v>
      </c>
      <c r="Q312" s="59"/>
      <c r="R312" s="60"/>
      <c r="T312" s="51"/>
      <c r="U312" s="61"/>
      <c r="V312" s="61"/>
      <c r="AA312" s="52"/>
      <c r="AB312" s="41" t="s">
        <v>297</v>
      </c>
    </row>
    <row r="314" spans="1:28" x14ac:dyDescent="0.2">
      <c r="A314" s="91">
        <v>43</v>
      </c>
      <c r="B314" s="91" t="s">
        <v>113</v>
      </c>
      <c r="C314" s="92">
        <v>36763</v>
      </c>
      <c r="D314" s="41" t="s">
        <v>111</v>
      </c>
      <c r="E314" s="41" t="s">
        <v>14</v>
      </c>
      <c r="F314" s="41" t="s">
        <v>15</v>
      </c>
      <c r="G314" s="41" t="s">
        <v>112</v>
      </c>
      <c r="H314" s="93">
        <v>0.44</v>
      </c>
      <c r="I314" s="94">
        <f t="shared" ref="I314:I319" si="91">+H314*K314</f>
        <v>13200</v>
      </c>
      <c r="J314" s="95">
        <v>36770</v>
      </c>
      <c r="K314" s="96">
        <v>30000</v>
      </c>
      <c r="L314" s="97" t="s">
        <v>25</v>
      </c>
      <c r="M314" s="93">
        <v>4.5</v>
      </c>
      <c r="N314" s="99">
        <f t="shared" ref="N314:N319" si="92">K314*M314</f>
        <v>135000</v>
      </c>
      <c r="O314" s="62">
        <f t="shared" ref="O314:O319" si="93">0.01*K314</f>
        <v>300</v>
      </c>
      <c r="Q314" s="100">
        <v>4.45</v>
      </c>
      <c r="T314" s="62">
        <v>0</v>
      </c>
      <c r="Y314" s="41" t="s">
        <v>208</v>
      </c>
      <c r="AA314" s="91" t="s">
        <v>201</v>
      </c>
      <c r="AB314" s="41" t="s">
        <v>296</v>
      </c>
    </row>
    <row r="315" spans="1:28" x14ac:dyDescent="0.2">
      <c r="A315" s="91">
        <v>43</v>
      </c>
      <c r="B315" s="91" t="s">
        <v>113</v>
      </c>
      <c r="C315" s="92">
        <v>36763</v>
      </c>
      <c r="D315" s="41" t="s">
        <v>111</v>
      </c>
      <c r="E315" s="41" t="s">
        <v>14</v>
      </c>
      <c r="F315" s="41" t="s">
        <v>15</v>
      </c>
      <c r="G315" s="41" t="s">
        <v>112</v>
      </c>
      <c r="H315" s="93">
        <v>0.44</v>
      </c>
      <c r="I315" s="94">
        <f t="shared" si="91"/>
        <v>13200</v>
      </c>
      <c r="J315" s="95">
        <v>36800</v>
      </c>
      <c r="K315" s="96">
        <v>30000</v>
      </c>
      <c r="L315" s="97" t="s">
        <v>25</v>
      </c>
      <c r="M315" s="93">
        <v>4.5</v>
      </c>
      <c r="N315" s="99">
        <f t="shared" si="92"/>
        <v>135000</v>
      </c>
      <c r="O315" s="62">
        <f t="shared" si="93"/>
        <v>300</v>
      </c>
      <c r="Q315" s="100">
        <v>5.1050000000000004</v>
      </c>
      <c r="T315" s="62">
        <f>(M315-Q315)*K315</f>
        <v>-18150.000000000015</v>
      </c>
      <c r="AA315" s="91" t="s">
        <v>201</v>
      </c>
      <c r="AB315" s="41" t="s">
        <v>296</v>
      </c>
    </row>
    <row r="316" spans="1:28" x14ac:dyDescent="0.2">
      <c r="A316" s="91">
        <v>43</v>
      </c>
      <c r="B316" s="91" t="s">
        <v>113</v>
      </c>
      <c r="C316" s="92">
        <v>36763</v>
      </c>
      <c r="D316" s="41" t="s">
        <v>111</v>
      </c>
      <c r="E316" s="41" t="s">
        <v>14</v>
      </c>
      <c r="F316" s="41" t="s">
        <v>15</v>
      </c>
      <c r="G316" s="41" t="s">
        <v>112</v>
      </c>
      <c r="H316" s="93">
        <v>0.44</v>
      </c>
      <c r="I316" s="94">
        <f t="shared" si="91"/>
        <v>13200</v>
      </c>
      <c r="J316" s="95">
        <v>36831</v>
      </c>
      <c r="K316" s="96">
        <v>30000</v>
      </c>
      <c r="L316" s="97" t="s">
        <v>25</v>
      </c>
      <c r="M316" s="93">
        <v>4.5</v>
      </c>
      <c r="N316" s="99">
        <f t="shared" si="92"/>
        <v>135000</v>
      </c>
      <c r="O316" s="62">
        <f t="shared" si="93"/>
        <v>300</v>
      </c>
      <c r="Q316" s="100">
        <v>4.3099999999999996</v>
      </c>
      <c r="T316" s="62">
        <v>0</v>
      </c>
      <c r="AA316" s="91" t="s">
        <v>201</v>
      </c>
      <c r="AB316" s="41" t="s">
        <v>296</v>
      </c>
    </row>
    <row r="317" spans="1:28" x14ac:dyDescent="0.2">
      <c r="A317" s="91">
        <v>43</v>
      </c>
      <c r="B317" s="91" t="s">
        <v>113</v>
      </c>
      <c r="C317" s="92">
        <v>36763</v>
      </c>
      <c r="D317" s="41" t="s">
        <v>111</v>
      </c>
      <c r="E317" s="41" t="s">
        <v>14</v>
      </c>
      <c r="F317" s="41" t="s">
        <v>15</v>
      </c>
      <c r="G317" s="41" t="s">
        <v>112</v>
      </c>
      <c r="H317" s="93">
        <v>0.44</v>
      </c>
      <c r="I317" s="94">
        <f t="shared" si="91"/>
        <v>13200</v>
      </c>
      <c r="J317" s="95">
        <v>36861</v>
      </c>
      <c r="K317" s="96">
        <v>30000</v>
      </c>
      <c r="L317" s="97" t="s">
        <v>25</v>
      </c>
      <c r="M317" s="93">
        <v>4.5</v>
      </c>
      <c r="N317" s="99">
        <f t="shared" si="92"/>
        <v>135000</v>
      </c>
      <c r="O317" s="62">
        <f t="shared" si="93"/>
        <v>300</v>
      </c>
      <c r="Q317" s="100">
        <v>5.7750000000000004</v>
      </c>
      <c r="T317" s="62">
        <f>(M317-Q317)*K317</f>
        <v>-38250.000000000007</v>
      </c>
      <c r="AA317" s="91" t="s">
        <v>201</v>
      </c>
      <c r="AB317" s="41" t="s">
        <v>296</v>
      </c>
    </row>
    <row r="318" spans="1:28" x14ac:dyDescent="0.2">
      <c r="A318" s="91">
        <v>43</v>
      </c>
      <c r="B318" s="91" t="s">
        <v>113</v>
      </c>
      <c r="C318" s="92">
        <v>36763</v>
      </c>
      <c r="D318" s="41" t="s">
        <v>111</v>
      </c>
      <c r="E318" s="41" t="s">
        <v>14</v>
      </c>
      <c r="F318" s="41" t="s">
        <v>15</v>
      </c>
      <c r="G318" s="41" t="s">
        <v>112</v>
      </c>
      <c r="H318" s="93">
        <v>0.44</v>
      </c>
      <c r="I318" s="94">
        <f t="shared" si="91"/>
        <v>13200</v>
      </c>
      <c r="J318" s="95">
        <v>36892</v>
      </c>
      <c r="K318" s="96">
        <v>30000</v>
      </c>
      <c r="L318" s="97" t="s">
        <v>25</v>
      </c>
      <c r="M318" s="93">
        <v>4.5</v>
      </c>
      <c r="N318" s="99">
        <f t="shared" si="92"/>
        <v>135000</v>
      </c>
      <c r="O318" s="62">
        <f t="shared" si="93"/>
        <v>300</v>
      </c>
      <c r="Q318" s="100">
        <v>9.5649999999999995</v>
      </c>
      <c r="T318" s="62">
        <f>(4.5-Q318)*K318</f>
        <v>-151949.99999999997</v>
      </c>
      <c r="AA318" s="91" t="s">
        <v>201</v>
      </c>
      <c r="AB318" s="41" t="s">
        <v>296</v>
      </c>
    </row>
    <row r="319" spans="1:28" x14ac:dyDescent="0.2">
      <c r="A319" s="91">
        <v>43</v>
      </c>
      <c r="B319" s="91" t="s">
        <v>113</v>
      </c>
      <c r="C319" s="92">
        <v>36763</v>
      </c>
      <c r="D319" s="41" t="s">
        <v>111</v>
      </c>
      <c r="E319" s="41" t="s">
        <v>14</v>
      </c>
      <c r="F319" s="41" t="s">
        <v>15</v>
      </c>
      <c r="G319" s="41" t="s">
        <v>112</v>
      </c>
      <c r="H319" s="93">
        <v>0.44</v>
      </c>
      <c r="I319" s="94">
        <f t="shared" si="91"/>
        <v>13200</v>
      </c>
      <c r="J319" s="95">
        <v>36923</v>
      </c>
      <c r="K319" s="96">
        <v>30000</v>
      </c>
      <c r="L319" s="97" t="s">
        <v>25</v>
      </c>
      <c r="M319" s="93">
        <v>4.5</v>
      </c>
      <c r="N319" s="99">
        <f t="shared" si="92"/>
        <v>135000</v>
      </c>
      <c r="O319" s="62">
        <f t="shared" si="93"/>
        <v>300</v>
      </c>
      <c r="AA319" s="91" t="s">
        <v>201</v>
      </c>
      <c r="AB319" s="41" t="s">
        <v>296</v>
      </c>
    </row>
    <row r="321" spans="1:28" x14ac:dyDescent="0.2">
      <c r="A321" s="91">
        <v>44</v>
      </c>
      <c r="B321" s="91" t="s">
        <v>172</v>
      </c>
      <c r="C321" s="92">
        <v>36763</v>
      </c>
      <c r="D321" s="41" t="s">
        <v>115</v>
      </c>
      <c r="E321" s="41" t="s">
        <v>14</v>
      </c>
      <c r="F321" s="41" t="s">
        <v>15</v>
      </c>
      <c r="G321" s="41" t="s">
        <v>33</v>
      </c>
      <c r="H321" s="93">
        <v>0.15</v>
      </c>
      <c r="I321" s="94">
        <f t="shared" ref="I321:I326" si="94">+H321*K321</f>
        <v>1200</v>
      </c>
      <c r="J321" s="95">
        <v>36770</v>
      </c>
      <c r="K321" s="96">
        <v>8000</v>
      </c>
      <c r="L321" s="97" t="s">
        <v>25</v>
      </c>
      <c r="M321" s="93" t="s">
        <v>116</v>
      </c>
      <c r="O321" s="62">
        <f t="shared" ref="O321:O326" si="95">0*K321</f>
        <v>0</v>
      </c>
      <c r="Q321" s="100">
        <v>4.45</v>
      </c>
      <c r="T321" s="62">
        <v>0</v>
      </c>
      <c r="Y321" s="41" t="s">
        <v>206</v>
      </c>
      <c r="AA321" s="91" t="s">
        <v>202</v>
      </c>
      <c r="AB321" s="41" t="s">
        <v>297</v>
      </c>
    </row>
    <row r="322" spans="1:28" x14ac:dyDescent="0.2">
      <c r="A322" s="91">
        <v>44</v>
      </c>
      <c r="B322" s="91" t="s">
        <v>172</v>
      </c>
      <c r="C322" s="92">
        <v>36763</v>
      </c>
      <c r="D322" s="41" t="s">
        <v>115</v>
      </c>
      <c r="E322" s="41" t="s">
        <v>14</v>
      </c>
      <c r="F322" s="41" t="s">
        <v>15</v>
      </c>
      <c r="G322" s="41" t="s">
        <v>33</v>
      </c>
      <c r="H322" s="93">
        <v>0.15</v>
      </c>
      <c r="I322" s="94">
        <f t="shared" si="94"/>
        <v>1200</v>
      </c>
      <c r="J322" s="95">
        <v>36800</v>
      </c>
      <c r="K322" s="96">
        <v>8000</v>
      </c>
      <c r="L322" s="97" t="s">
        <v>25</v>
      </c>
      <c r="M322" s="93" t="s">
        <v>116</v>
      </c>
      <c r="O322" s="62">
        <f t="shared" si="95"/>
        <v>0</v>
      </c>
      <c r="Q322" s="100">
        <v>5.1050000000000004</v>
      </c>
      <c r="T322" s="62">
        <f>(5.1-Q322)*K322</f>
        <v>-40.000000000006253</v>
      </c>
      <c r="AA322" s="91" t="s">
        <v>202</v>
      </c>
      <c r="AB322" s="41" t="s">
        <v>297</v>
      </c>
    </row>
    <row r="323" spans="1:28" x14ac:dyDescent="0.2">
      <c r="A323" s="91">
        <v>44</v>
      </c>
      <c r="B323" s="91" t="s">
        <v>172</v>
      </c>
      <c r="C323" s="92">
        <v>36763</v>
      </c>
      <c r="D323" s="41" t="s">
        <v>115</v>
      </c>
      <c r="E323" s="41" t="s">
        <v>14</v>
      </c>
      <c r="F323" s="41" t="s">
        <v>15</v>
      </c>
      <c r="G323" s="41" t="s">
        <v>33</v>
      </c>
      <c r="H323" s="93">
        <v>0.15</v>
      </c>
      <c r="I323" s="94">
        <f t="shared" si="94"/>
        <v>1200</v>
      </c>
      <c r="J323" s="95">
        <v>36831</v>
      </c>
      <c r="K323" s="96">
        <v>8000</v>
      </c>
      <c r="L323" s="97" t="s">
        <v>25</v>
      </c>
      <c r="M323" s="93" t="s">
        <v>116</v>
      </c>
      <c r="O323" s="62">
        <f t="shared" si="95"/>
        <v>0</v>
      </c>
      <c r="Q323" s="100">
        <v>4.3099999999999996</v>
      </c>
      <c r="T323" s="62">
        <v>0</v>
      </c>
      <c r="AA323" s="91" t="s">
        <v>202</v>
      </c>
      <c r="AB323" s="41" t="s">
        <v>297</v>
      </c>
    </row>
    <row r="324" spans="1:28" x14ac:dyDescent="0.2">
      <c r="A324" s="91">
        <v>44</v>
      </c>
      <c r="B324" s="91" t="s">
        <v>172</v>
      </c>
      <c r="C324" s="92">
        <v>36763</v>
      </c>
      <c r="D324" s="41" t="s">
        <v>115</v>
      </c>
      <c r="E324" s="41" t="s">
        <v>14</v>
      </c>
      <c r="F324" s="41" t="s">
        <v>15</v>
      </c>
      <c r="G324" s="41" t="s">
        <v>33</v>
      </c>
      <c r="H324" s="93">
        <v>0.15</v>
      </c>
      <c r="I324" s="94">
        <f t="shared" si="94"/>
        <v>1200</v>
      </c>
      <c r="J324" s="95">
        <v>36861</v>
      </c>
      <c r="K324" s="96">
        <v>8000</v>
      </c>
      <c r="L324" s="97" t="s">
        <v>25</v>
      </c>
      <c r="M324" s="93" t="s">
        <v>116</v>
      </c>
      <c r="O324" s="62">
        <f t="shared" si="95"/>
        <v>0</v>
      </c>
      <c r="Q324" s="100">
        <v>5.7750000000000004</v>
      </c>
      <c r="T324" s="62">
        <f>(5.1-Q324)*K324</f>
        <v>-5400.0000000000055</v>
      </c>
      <c r="AA324" s="91" t="s">
        <v>202</v>
      </c>
      <c r="AB324" s="41" t="s">
        <v>297</v>
      </c>
    </row>
    <row r="325" spans="1:28" x14ac:dyDescent="0.2">
      <c r="A325" s="91">
        <v>44</v>
      </c>
      <c r="B325" s="91" t="s">
        <v>172</v>
      </c>
      <c r="C325" s="92">
        <v>36763</v>
      </c>
      <c r="D325" s="41" t="s">
        <v>115</v>
      </c>
      <c r="E325" s="41" t="s">
        <v>14</v>
      </c>
      <c r="F325" s="41" t="s">
        <v>15</v>
      </c>
      <c r="G325" s="41" t="s">
        <v>33</v>
      </c>
      <c r="H325" s="93">
        <v>0.15</v>
      </c>
      <c r="I325" s="94">
        <f t="shared" si="94"/>
        <v>1200</v>
      </c>
      <c r="J325" s="95">
        <v>36892</v>
      </c>
      <c r="K325" s="96">
        <v>8000</v>
      </c>
      <c r="L325" s="97" t="s">
        <v>25</v>
      </c>
      <c r="M325" s="93" t="s">
        <v>116</v>
      </c>
      <c r="O325" s="62">
        <f t="shared" si="95"/>
        <v>0</v>
      </c>
      <c r="Q325" s="100">
        <v>9.5649999999999995</v>
      </c>
      <c r="T325" s="62">
        <f>(5.1-Q325)*K325</f>
        <v>-35720</v>
      </c>
      <c r="AA325" s="91" t="s">
        <v>202</v>
      </c>
      <c r="AB325" s="41" t="s">
        <v>297</v>
      </c>
    </row>
    <row r="326" spans="1:28" x14ac:dyDescent="0.2">
      <c r="A326" s="91">
        <v>44</v>
      </c>
      <c r="B326" s="91" t="s">
        <v>172</v>
      </c>
      <c r="C326" s="92">
        <v>36763</v>
      </c>
      <c r="D326" s="41" t="s">
        <v>115</v>
      </c>
      <c r="E326" s="41" t="s">
        <v>14</v>
      </c>
      <c r="F326" s="41" t="s">
        <v>15</v>
      </c>
      <c r="G326" s="41" t="s">
        <v>33</v>
      </c>
      <c r="H326" s="93">
        <v>0.15</v>
      </c>
      <c r="I326" s="94">
        <f t="shared" si="94"/>
        <v>1200</v>
      </c>
      <c r="J326" s="95">
        <v>36923</v>
      </c>
      <c r="K326" s="96">
        <v>8000</v>
      </c>
      <c r="L326" s="97" t="s">
        <v>25</v>
      </c>
      <c r="M326" s="93" t="s">
        <v>116</v>
      </c>
      <c r="O326" s="62">
        <f t="shared" si="95"/>
        <v>0</v>
      </c>
      <c r="AA326" s="91" t="s">
        <v>202</v>
      </c>
      <c r="AB326" s="41" t="s">
        <v>297</v>
      </c>
    </row>
    <row r="328" spans="1:28" x14ac:dyDescent="0.2">
      <c r="A328" s="91">
        <v>45</v>
      </c>
      <c r="B328" s="91" t="s">
        <v>125</v>
      </c>
      <c r="C328" s="92">
        <v>36763</v>
      </c>
      <c r="D328" s="41" t="s">
        <v>117</v>
      </c>
      <c r="E328" s="41" t="s">
        <v>14</v>
      </c>
      <c r="F328" s="41" t="s">
        <v>15</v>
      </c>
      <c r="G328" s="41" t="s">
        <v>33</v>
      </c>
      <c r="H328" s="93">
        <v>0.15</v>
      </c>
      <c r="I328" s="94">
        <f t="shared" ref="I328:I333" si="96">+H328*K328</f>
        <v>150</v>
      </c>
      <c r="J328" s="95">
        <v>36770</v>
      </c>
      <c r="K328" s="96">
        <v>1000</v>
      </c>
      <c r="L328" s="97" t="s">
        <v>25</v>
      </c>
      <c r="M328" s="93" t="s">
        <v>116</v>
      </c>
      <c r="O328" s="62">
        <f t="shared" ref="O328:O333" si="97">0*K328</f>
        <v>0</v>
      </c>
      <c r="Q328" s="100">
        <v>4.45</v>
      </c>
      <c r="T328" s="62">
        <v>0</v>
      </c>
      <c r="Y328" s="41" t="s">
        <v>206</v>
      </c>
      <c r="AA328" s="91" t="s">
        <v>202</v>
      </c>
      <c r="AB328" s="41" t="s">
        <v>297</v>
      </c>
    </row>
    <row r="329" spans="1:28" x14ac:dyDescent="0.2">
      <c r="A329" s="91">
        <v>45</v>
      </c>
      <c r="B329" s="91" t="s">
        <v>125</v>
      </c>
      <c r="C329" s="92">
        <v>36763</v>
      </c>
      <c r="D329" s="41" t="s">
        <v>117</v>
      </c>
      <c r="E329" s="41" t="s">
        <v>14</v>
      </c>
      <c r="F329" s="41" t="s">
        <v>15</v>
      </c>
      <c r="G329" s="41" t="s">
        <v>33</v>
      </c>
      <c r="H329" s="93">
        <v>0.15</v>
      </c>
      <c r="I329" s="94">
        <f t="shared" si="96"/>
        <v>150</v>
      </c>
      <c r="J329" s="95">
        <v>36800</v>
      </c>
      <c r="K329" s="96">
        <v>1000</v>
      </c>
      <c r="L329" s="97" t="s">
        <v>25</v>
      </c>
      <c r="M329" s="93" t="s">
        <v>116</v>
      </c>
      <c r="O329" s="62">
        <f t="shared" si="97"/>
        <v>0</v>
      </c>
      <c r="Q329" s="100">
        <v>5.1050000000000004</v>
      </c>
      <c r="T329" s="62">
        <f>(5.1-Q329)*K329</f>
        <v>-5.0000000000007816</v>
      </c>
      <c r="AA329" s="91" t="s">
        <v>202</v>
      </c>
      <c r="AB329" s="41" t="s">
        <v>297</v>
      </c>
    </row>
    <row r="330" spans="1:28" x14ac:dyDescent="0.2">
      <c r="A330" s="91">
        <v>45</v>
      </c>
      <c r="B330" s="91" t="s">
        <v>125</v>
      </c>
      <c r="C330" s="92">
        <v>36763</v>
      </c>
      <c r="D330" s="41" t="s">
        <v>117</v>
      </c>
      <c r="E330" s="41" t="s">
        <v>14</v>
      </c>
      <c r="F330" s="41" t="s">
        <v>15</v>
      </c>
      <c r="G330" s="41" t="s">
        <v>33</v>
      </c>
      <c r="H330" s="93">
        <v>0.15</v>
      </c>
      <c r="I330" s="94">
        <f t="shared" si="96"/>
        <v>150</v>
      </c>
      <c r="J330" s="95">
        <v>36831</v>
      </c>
      <c r="K330" s="96">
        <v>1000</v>
      </c>
      <c r="L330" s="97" t="s">
        <v>25</v>
      </c>
      <c r="M330" s="93" t="s">
        <v>116</v>
      </c>
      <c r="O330" s="62">
        <f t="shared" si="97"/>
        <v>0</v>
      </c>
      <c r="Q330" s="100">
        <v>4.3099999999999996</v>
      </c>
      <c r="T330" s="62">
        <v>0</v>
      </c>
      <c r="AA330" s="91" t="s">
        <v>202</v>
      </c>
      <c r="AB330" s="41" t="s">
        <v>297</v>
      </c>
    </row>
    <row r="331" spans="1:28" x14ac:dyDescent="0.2">
      <c r="A331" s="91">
        <v>45</v>
      </c>
      <c r="B331" s="91" t="s">
        <v>125</v>
      </c>
      <c r="C331" s="92">
        <v>36763</v>
      </c>
      <c r="D331" s="41" t="s">
        <v>117</v>
      </c>
      <c r="E331" s="41" t="s">
        <v>14</v>
      </c>
      <c r="F331" s="41" t="s">
        <v>15</v>
      </c>
      <c r="G331" s="41" t="s">
        <v>33</v>
      </c>
      <c r="H331" s="93">
        <v>0.15</v>
      </c>
      <c r="I331" s="94">
        <f t="shared" si="96"/>
        <v>150</v>
      </c>
      <c r="J331" s="95">
        <v>36861</v>
      </c>
      <c r="K331" s="96">
        <v>1000</v>
      </c>
      <c r="L331" s="97" t="s">
        <v>25</v>
      </c>
      <c r="M331" s="93" t="s">
        <v>116</v>
      </c>
      <c r="O331" s="62">
        <f t="shared" si="97"/>
        <v>0</v>
      </c>
      <c r="Q331" s="100">
        <v>5.7750000000000004</v>
      </c>
      <c r="T331" s="62">
        <f>(5.1-Q331)*K331</f>
        <v>-675.00000000000068</v>
      </c>
      <c r="AA331" s="91" t="s">
        <v>202</v>
      </c>
      <c r="AB331" s="41" t="s">
        <v>297</v>
      </c>
    </row>
    <row r="332" spans="1:28" x14ac:dyDescent="0.2">
      <c r="A332" s="91">
        <v>45</v>
      </c>
      <c r="B332" s="91" t="s">
        <v>125</v>
      </c>
      <c r="C332" s="92">
        <v>36763</v>
      </c>
      <c r="D332" s="41" t="s">
        <v>117</v>
      </c>
      <c r="E332" s="41" t="s">
        <v>14</v>
      </c>
      <c r="F332" s="41" t="s">
        <v>15</v>
      </c>
      <c r="G332" s="41" t="s">
        <v>33</v>
      </c>
      <c r="H332" s="93">
        <v>0.15</v>
      </c>
      <c r="I332" s="94">
        <f t="shared" si="96"/>
        <v>150</v>
      </c>
      <c r="J332" s="95">
        <v>36892</v>
      </c>
      <c r="K332" s="96">
        <v>1000</v>
      </c>
      <c r="L332" s="97" t="s">
        <v>25</v>
      </c>
      <c r="M332" s="93" t="s">
        <v>116</v>
      </c>
      <c r="O332" s="62">
        <f t="shared" si="97"/>
        <v>0</v>
      </c>
      <c r="Q332" s="100">
        <v>9.5649999999999995</v>
      </c>
      <c r="T332" s="62">
        <f>(5.1-Q332)*K332</f>
        <v>-4465</v>
      </c>
      <c r="AA332" s="91" t="s">
        <v>202</v>
      </c>
      <c r="AB332" s="41" t="s">
        <v>297</v>
      </c>
    </row>
    <row r="333" spans="1:28" x14ac:dyDescent="0.2">
      <c r="A333" s="91">
        <v>45</v>
      </c>
      <c r="B333" s="91" t="s">
        <v>125</v>
      </c>
      <c r="C333" s="92">
        <v>36763</v>
      </c>
      <c r="D333" s="41" t="s">
        <v>117</v>
      </c>
      <c r="E333" s="41" t="s">
        <v>14</v>
      </c>
      <c r="F333" s="41" t="s">
        <v>15</v>
      </c>
      <c r="G333" s="41" t="s">
        <v>33</v>
      </c>
      <c r="H333" s="93">
        <v>0.15</v>
      </c>
      <c r="I333" s="94">
        <f t="shared" si="96"/>
        <v>150</v>
      </c>
      <c r="J333" s="95">
        <v>36923</v>
      </c>
      <c r="K333" s="96">
        <v>1000</v>
      </c>
      <c r="L333" s="97" t="s">
        <v>25</v>
      </c>
      <c r="M333" s="93" t="s">
        <v>116</v>
      </c>
      <c r="O333" s="62">
        <f t="shared" si="97"/>
        <v>0</v>
      </c>
      <c r="AA333" s="91" t="s">
        <v>202</v>
      </c>
      <c r="AB333" s="41" t="s">
        <v>297</v>
      </c>
    </row>
    <row r="335" spans="1:28" x14ac:dyDescent="0.2">
      <c r="A335" s="91">
        <v>46</v>
      </c>
      <c r="B335" s="91" t="s">
        <v>126</v>
      </c>
      <c r="C335" s="92">
        <v>36763</v>
      </c>
      <c r="D335" s="41" t="s">
        <v>118</v>
      </c>
      <c r="E335" s="41" t="s">
        <v>14</v>
      </c>
      <c r="F335" s="41" t="s">
        <v>15</v>
      </c>
      <c r="G335" s="41" t="s">
        <v>33</v>
      </c>
      <c r="H335" s="93">
        <v>0.15</v>
      </c>
      <c r="I335" s="94">
        <f t="shared" ref="I335:I340" si="98">+H335*K335</f>
        <v>150</v>
      </c>
      <c r="J335" s="95">
        <v>36770</v>
      </c>
      <c r="K335" s="96">
        <v>1000</v>
      </c>
      <c r="L335" s="97" t="s">
        <v>25</v>
      </c>
      <c r="M335" s="93" t="s">
        <v>116</v>
      </c>
      <c r="O335" s="62">
        <f t="shared" ref="O335:O340" si="99">0*K335</f>
        <v>0</v>
      </c>
      <c r="Q335" s="100">
        <v>4.45</v>
      </c>
      <c r="T335" s="62">
        <v>0</v>
      </c>
      <c r="Y335" s="41" t="s">
        <v>206</v>
      </c>
      <c r="AA335" s="91" t="s">
        <v>202</v>
      </c>
      <c r="AB335" s="41" t="s">
        <v>297</v>
      </c>
    </row>
    <row r="336" spans="1:28" x14ac:dyDescent="0.2">
      <c r="A336" s="91">
        <v>46</v>
      </c>
      <c r="B336" s="91" t="s">
        <v>126</v>
      </c>
      <c r="C336" s="92">
        <v>36763</v>
      </c>
      <c r="D336" s="41" t="s">
        <v>118</v>
      </c>
      <c r="E336" s="41" t="s">
        <v>14</v>
      </c>
      <c r="F336" s="41" t="s">
        <v>15</v>
      </c>
      <c r="G336" s="41" t="s">
        <v>33</v>
      </c>
      <c r="H336" s="93">
        <v>0.15</v>
      </c>
      <c r="I336" s="94">
        <f t="shared" si="98"/>
        <v>150</v>
      </c>
      <c r="J336" s="95">
        <v>36800</v>
      </c>
      <c r="K336" s="96">
        <v>1000</v>
      </c>
      <c r="L336" s="97" t="s">
        <v>25</v>
      </c>
      <c r="M336" s="93" t="s">
        <v>116</v>
      </c>
      <c r="O336" s="62">
        <f t="shared" si="99"/>
        <v>0</v>
      </c>
      <c r="Q336" s="100">
        <v>5.1050000000000004</v>
      </c>
      <c r="T336" s="62">
        <f>(5.1-Q336)*K336</f>
        <v>-5.0000000000007816</v>
      </c>
      <c r="AA336" s="91" t="s">
        <v>202</v>
      </c>
      <c r="AB336" s="41" t="s">
        <v>297</v>
      </c>
    </row>
    <row r="337" spans="1:28" x14ac:dyDescent="0.2">
      <c r="A337" s="91">
        <v>46</v>
      </c>
      <c r="B337" s="91" t="s">
        <v>126</v>
      </c>
      <c r="C337" s="92">
        <v>36763</v>
      </c>
      <c r="D337" s="41" t="s">
        <v>118</v>
      </c>
      <c r="E337" s="41" t="s">
        <v>14</v>
      </c>
      <c r="F337" s="41" t="s">
        <v>15</v>
      </c>
      <c r="G337" s="41" t="s">
        <v>33</v>
      </c>
      <c r="H337" s="93">
        <v>0.15</v>
      </c>
      <c r="I337" s="94">
        <f t="shared" si="98"/>
        <v>150</v>
      </c>
      <c r="J337" s="95">
        <v>36831</v>
      </c>
      <c r="K337" s="96">
        <v>1000</v>
      </c>
      <c r="L337" s="97" t="s">
        <v>25</v>
      </c>
      <c r="M337" s="93" t="s">
        <v>116</v>
      </c>
      <c r="O337" s="62">
        <f t="shared" si="99"/>
        <v>0</v>
      </c>
      <c r="Q337" s="100">
        <v>4.3099999999999996</v>
      </c>
      <c r="T337" s="62">
        <v>0</v>
      </c>
      <c r="AA337" s="91" t="s">
        <v>202</v>
      </c>
      <c r="AB337" s="41" t="s">
        <v>297</v>
      </c>
    </row>
    <row r="338" spans="1:28" x14ac:dyDescent="0.2">
      <c r="A338" s="91">
        <v>46</v>
      </c>
      <c r="B338" s="91" t="s">
        <v>126</v>
      </c>
      <c r="C338" s="92">
        <v>36763</v>
      </c>
      <c r="D338" s="41" t="s">
        <v>118</v>
      </c>
      <c r="E338" s="41" t="s">
        <v>14</v>
      </c>
      <c r="F338" s="41" t="s">
        <v>15</v>
      </c>
      <c r="G338" s="41" t="s">
        <v>33</v>
      </c>
      <c r="H338" s="93">
        <v>0.15</v>
      </c>
      <c r="I338" s="94">
        <f t="shared" si="98"/>
        <v>150</v>
      </c>
      <c r="J338" s="95">
        <v>36861</v>
      </c>
      <c r="K338" s="96">
        <v>1000</v>
      </c>
      <c r="L338" s="97" t="s">
        <v>25</v>
      </c>
      <c r="M338" s="93" t="s">
        <v>116</v>
      </c>
      <c r="O338" s="62">
        <f t="shared" si="99"/>
        <v>0</v>
      </c>
      <c r="Q338" s="100">
        <v>5.7750000000000004</v>
      </c>
      <c r="T338" s="62">
        <f>(5.1-Q338)*K338</f>
        <v>-675.00000000000068</v>
      </c>
      <c r="AA338" s="91" t="s">
        <v>202</v>
      </c>
      <c r="AB338" s="41" t="s">
        <v>297</v>
      </c>
    </row>
    <row r="339" spans="1:28" x14ac:dyDescent="0.2">
      <c r="A339" s="91">
        <v>46</v>
      </c>
      <c r="B339" s="91" t="s">
        <v>126</v>
      </c>
      <c r="C339" s="92">
        <v>36763</v>
      </c>
      <c r="D339" s="41" t="s">
        <v>118</v>
      </c>
      <c r="E339" s="41" t="s">
        <v>14</v>
      </c>
      <c r="F339" s="41" t="s">
        <v>15</v>
      </c>
      <c r="G339" s="41" t="s">
        <v>33</v>
      </c>
      <c r="H339" s="93">
        <v>0.15</v>
      </c>
      <c r="I339" s="94">
        <f t="shared" si="98"/>
        <v>150</v>
      </c>
      <c r="J339" s="95">
        <v>36892</v>
      </c>
      <c r="K339" s="96">
        <v>1000</v>
      </c>
      <c r="L339" s="97" t="s">
        <v>25</v>
      </c>
      <c r="M339" s="93" t="s">
        <v>116</v>
      </c>
      <c r="O339" s="62">
        <f t="shared" si="99"/>
        <v>0</v>
      </c>
      <c r="Q339" s="100">
        <v>9.5649999999999995</v>
      </c>
      <c r="T339" s="62">
        <f>(5.1-Q339)*K339</f>
        <v>-4465</v>
      </c>
      <c r="AA339" s="91" t="s">
        <v>202</v>
      </c>
      <c r="AB339" s="41" t="s">
        <v>297</v>
      </c>
    </row>
    <row r="340" spans="1:28" x14ac:dyDescent="0.2">
      <c r="A340" s="91">
        <v>46</v>
      </c>
      <c r="B340" s="91" t="s">
        <v>126</v>
      </c>
      <c r="C340" s="92">
        <v>36763</v>
      </c>
      <c r="D340" s="41" t="s">
        <v>118</v>
      </c>
      <c r="E340" s="41" t="s">
        <v>14</v>
      </c>
      <c r="F340" s="41" t="s">
        <v>15</v>
      </c>
      <c r="G340" s="41" t="s">
        <v>33</v>
      </c>
      <c r="H340" s="93">
        <v>0.15</v>
      </c>
      <c r="I340" s="94">
        <f t="shared" si="98"/>
        <v>150</v>
      </c>
      <c r="J340" s="95">
        <v>36923</v>
      </c>
      <c r="K340" s="96">
        <v>1000</v>
      </c>
      <c r="L340" s="97" t="s">
        <v>25</v>
      </c>
      <c r="M340" s="93" t="s">
        <v>116</v>
      </c>
      <c r="O340" s="62">
        <f t="shared" si="99"/>
        <v>0</v>
      </c>
      <c r="AA340" s="91" t="s">
        <v>202</v>
      </c>
      <c r="AB340" s="41" t="s">
        <v>297</v>
      </c>
    </row>
    <row r="342" spans="1:28" s="54" customFormat="1" x14ac:dyDescent="0.2">
      <c r="A342" s="52">
        <v>47</v>
      </c>
      <c r="B342" s="52" t="s">
        <v>128</v>
      </c>
      <c r="C342" s="53">
        <v>36763</v>
      </c>
      <c r="D342" s="54" t="s">
        <v>119</v>
      </c>
      <c r="E342" s="54" t="s">
        <v>14</v>
      </c>
      <c r="F342" s="54" t="s">
        <v>15</v>
      </c>
      <c r="G342" s="54" t="s">
        <v>33</v>
      </c>
      <c r="H342" s="55">
        <v>0</v>
      </c>
      <c r="I342" s="56">
        <f t="shared" ref="I342:I347" si="100">+H342*K342</f>
        <v>0</v>
      </c>
      <c r="J342" s="66">
        <v>36770</v>
      </c>
      <c r="K342" s="50">
        <v>142500</v>
      </c>
      <c r="L342" s="57" t="s">
        <v>25</v>
      </c>
      <c r="M342" s="55" t="s">
        <v>120</v>
      </c>
      <c r="N342" s="58"/>
      <c r="O342" s="51">
        <f t="shared" ref="O342:O347" si="101">0*K342</f>
        <v>0</v>
      </c>
      <c r="Q342" s="59">
        <v>4.45</v>
      </c>
      <c r="R342" s="60"/>
      <c r="T342" s="51">
        <v>0</v>
      </c>
      <c r="U342" s="61"/>
      <c r="V342" s="61"/>
      <c r="Y342" s="54" t="s">
        <v>209</v>
      </c>
      <c r="AA342" s="52"/>
      <c r="AB342" s="41" t="s">
        <v>297</v>
      </c>
    </row>
    <row r="343" spans="1:28" s="54" customFormat="1" x14ac:dyDescent="0.2">
      <c r="A343" s="52">
        <v>47</v>
      </c>
      <c r="B343" s="52" t="s">
        <v>128</v>
      </c>
      <c r="C343" s="53">
        <v>36763</v>
      </c>
      <c r="D343" s="54" t="s">
        <v>119</v>
      </c>
      <c r="E343" s="54" t="s">
        <v>14</v>
      </c>
      <c r="F343" s="54" t="s">
        <v>15</v>
      </c>
      <c r="G343" s="54" t="s">
        <v>33</v>
      </c>
      <c r="H343" s="55">
        <v>0</v>
      </c>
      <c r="I343" s="56">
        <f t="shared" si="100"/>
        <v>0</v>
      </c>
      <c r="J343" s="66">
        <v>36800</v>
      </c>
      <c r="K343" s="50">
        <v>142500</v>
      </c>
      <c r="L343" s="57" t="s">
        <v>25</v>
      </c>
      <c r="M343" s="55" t="s">
        <v>120</v>
      </c>
      <c r="N343" s="58"/>
      <c r="O343" s="51">
        <f t="shared" si="101"/>
        <v>0</v>
      </c>
      <c r="Q343" s="59">
        <v>5.1050000000000004</v>
      </c>
      <c r="R343" s="60"/>
      <c r="T343" s="51">
        <v>0</v>
      </c>
      <c r="U343" s="61"/>
      <c r="V343" s="61"/>
      <c r="AA343" s="52"/>
      <c r="AB343" s="41" t="s">
        <v>297</v>
      </c>
    </row>
    <row r="344" spans="1:28" s="54" customFormat="1" x14ac:dyDescent="0.2">
      <c r="A344" s="52">
        <v>47</v>
      </c>
      <c r="B344" s="52" t="s">
        <v>128</v>
      </c>
      <c r="C344" s="53">
        <v>36763</v>
      </c>
      <c r="D344" s="54" t="s">
        <v>119</v>
      </c>
      <c r="E344" s="54" t="s">
        <v>14</v>
      </c>
      <c r="F344" s="54" t="s">
        <v>15</v>
      </c>
      <c r="G344" s="54" t="s">
        <v>33</v>
      </c>
      <c r="H344" s="55">
        <v>0</v>
      </c>
      <c r="I344" s="56">
        <f t="shared" si="100"/>
        <v>0</v>
      </c>
      <c r="J344" s="66">
        <v>36831</v>
      </c>
      <c r="K344" s="50">
        <v>142500</v>
      </c>
      <c r="L344" s="57" t="s">
        <v>25</v>
      </c>
      <c r="M344" s="55" t="s">
        <v>120</v>
      </c>
      <c r="N344" s="58"/>
      <c r="O344" s="51">
        <f t="shared" si="101"/>
        <v>0</v>
      </c>
      <c r="Q344" s="59">
        <v>4.3099999999999996</v>
      </c>
      <c r="R344" s="60"/>
      <c r="T344" s="51">
        <v>0</v>
      </c>
      <c r="U344" s="61"/>
      <c r="V344" s="61"/>
      <c r="AA344" s="52"/>
      <c r="AB344" s="41" t="s">
        <v>297</v>
      </c>
    </row>
    <row r="345" spans="1:28" s="54" customFormat="1" x14ac:dyDescent="0.2">
      <c r="A345" s="52">
        <v>47</v>
      </c>
      <c r="B345" s="52" t="s">
        <v>128</v>
      </c>
      <c r="C345" s="53">
        <v>36763</v>
      </c>
      <c r="D345" s="54" t="s">
        <v>119</v>
      </c>
      <c r="E345" s="54" t="s">
        <v>14</v>
      </c>
      <c r="F345" s="54" t="s">
        <v>15</v>
      </c>
      <c r="G345" s="54" t="s">
        <v>33</v>
      </c>
      <c r="H345" s="55">
        <v>0</v>
      </c>
      <c r="I345" s="56">
        <f t="shared" si="100"/>
        <v>0</v>
      </c>
      <c r="J345" s="66">
        <v>36861</v>
      </c>
      <c r="K345" s="50">
        <v>142500</v>
      </c>
      <c r="L345" s="57" t="s">
        <v>25</v>
      </c>
      <c r="M345" s="55" t="s">
        <v>120</v>
      </c>
      <c r="N345" s="58"/>
      <c r="O345" s="51">
        <f t="shared" si="101"/>
        <v>0</v>
      </c>
      <c r="Q345" s="59">
        <v>5.7750000000000004</v>
      </c>
      <c r="R345" s="60"/>
      <c r="T345" s="51">
        <v>0</v>
      </c>
      <c r="U345" s="61"/>
      <c r="V345" s="61"/>
      <c r="AA345" s="52"/>
      <c r="AB345" s="41" t="s">
        <v>297</v>
      </c>
    </row>
    <row r="346" spans="1:28" s="54" customFormat="1" x14ac:dyDescent="0.2">
      <c r="A346" s="52">
        <v>47</v>
      </c>
      <c r="B346" s="52" t="s">
        <v>128</v>
      </c>
      <c r="C346" s="53">
        <v>36763</v>
      </c>
      <c r="D346" s="54" t="s">
        <v>119</v>
      </c>
      <c r="E346" s="54" t="s">
        <v>14</v>
      </c>
      <c r="F346" s="54" t="s">
        <v>15</v>
      </c>
      <c r="G346" s="54" t="s">
        <v>33</v>
      </c>
      <c r="H346" s="55">
        <v>0</v>
      </c>
      <c r="I346" s="56">
        <f t="shared" si="100"/>
        <v>0</v>
      </c>
      <c r="J346" s="66">
        <v>36892</v>
      </c>
      <c r="K346" s="50">
        <v>142500</v>
      </c>
      <c r="L346" s="57" t="s">
        <v>25</v>
      </c>
      <c r="M346" s="55" t="s">
        <v>120</v>
      </c>
      <c r="N346" s="58"/>
      <c r="O346" s="51">
        <f t="shared" si="101"/>
        <v>0</v>
      </c>
      <c r="Q346" s="100">
        <v>9.5649999999999995</v>
      </c>
      <c r="R346" s="60"/>
      <c r="T346" s="62">
        <f>(8.22-Q346)*K346</f>
        <v>-191662.49999999983</v>
      </c>
      <c r="U346" s="61"/>
      <c r="V346" s="61"/>
      <c r="AA346" s="52"/>
      <c r="AB346" s="41" t="s">
        <v>297</v>
      </c>
    </row>
    <row r="347" spans="1:28" s="54" customFormat="1" x14ac:dyDescent="0.2">
      <c r="A347" s="52">
        <v>47</v>
      </c>
      <c r="B347" s="52" t="s">
        <v>128</v>
      </c>
      <c r="C347" s="53">
        <v>36763</v>
      </c>
      <c r="D347" s="54" t="s">
        <v>119</v>
      </c>
      <c r="E347" s="54" t="s">
        <v>14</v>
      </c>
      <c r="F347" s="54" t="s">
        <v>15</v>
      </c>
      <c r="G347" s="54" t="s">
        <v>33</v>
      </c>
      <c r="H347" s="55">
        <v>0</v>
      </c>
      <c r="I347" s="56">
        <f t="shared" si="100"/>
        <v>0</v>
      </c>
      <c r="J347" s="66">
        <v>36923</v>
      </c>
      <c r="K347" s="50">
        <v>142500</v>
      </c>
      <c r="L347" s="57" t="s">
        <v>25</v>
      </c>
      <c r="M347" s="55" t="s">
        <v>120</v>
      </c>
      <c r="N347" s="58"/>
      <c r="O347" s="51">
        <f t="shared" si="101"/>
        <v>0</v>
      </c>
      <c r="Q347" s="59"/>
      <c r="R347" s="60"/>
      <c r="T347" s="51"/>
      <c r="U347" s="61"/>
      <c r="V347" s="61"/>
      <c r="AA347" s="52"/>
      <c r="AB347" s="41" t="s">
        <v>297</v>
      </c>
    </row>
    <row r="348" spans="1:28" s="54" customFormat="1" x14ac:dyDescent="0.2">
      <c r="A348" s="52"/>
      <c r="B348" s="52"/>
      <c r="C348" s="53"/>
      <c r="H348" s="55"/>
      <c r="I348" s="56"/>
      <c r="J348" s="67"/>
      <c r="K348" s="50"/>
      <c r="L348" s="57"/>
      <c r="M348" s="55"/>
      <c r="N348" s="58"/>
      <c r="O348" s="51"/>
      <c r="Q348" s="59"/>
      <c r="R348" s="60"/>
      <c r="T348" s="51"/>
      <c r="U348" s="61"/>
      <c r="V348" s="61"/>
      <c r="AA348" s="52"/>
      <c r="AB348" s="41"/>
    </row>
    <row r="349" spans="1:28" s="54" customFormat="1" x14ac:dyDescent="0.2">
      <c r="A349" s="52">
        <v>48</v>
      </c>
      <c r="B349" s="52" t="s">
        <v>127</v>
      </c>
      <c r="C349" s="53">
        <v>36763</v>
      </c>
      <c r="D349" s="54" t="s">
        <v>121</v>
      </c>
      <c r="E349" s="54" t="s">
        <v>14</v>
      </c>
      <c r="F349" s="54" t="s">
        <v>15</v>
      </c>
      <c r="G349" s="54" t="s">
        <v>33</v>
      </c>
      <c r="H349" s="55">
        <v>0</v>
      </c>
      <c r="I349" s="56">
        <f t="shared" ref="I349:I354" si="102">+H349*K349</f>
        <v>0</v>
      </c>
      <c r="J349" s="66">
        <v>36770</v>
      </c>
      <c r="K349" s="50">
        <v>47500</v>
      </c>
      <c r="L349" s="57" t="s">
        <v>25</v>
      </c>
      <c r="M349" s="55" t="s">
        <v>120</v>
      </c>
      <c r="N349" s="58"/>
      <c r="O349" s="51">
        <f t="shared" ref="O349:O354" si="103">0*K349</f>
        <v>0</v>
      </c>
      <c r="Q349" s="59">
        <v>4.45</v>
      </c>
      <c r="R349" s="60"/>
      <c r="T349" s="51">
        <v>0</v>
      </c>
      <c r="U349" s="61"/>
      <c r="V349" s="61"/>
      <c r="Y349" s="54" t="s">
        <v>209</v>
      </c>
      <c r="AA349" s="52"/>
      <c r="AB349" s="41" t="s">
        <v>297</v>
      </c>
    </row>
    <row r="350" spans="1:28" s="54" customFormat="1" x14ac:dyDescent="0.2">
      <c r="A350" s="52">
        <v>48</v>
      </c>
      <c r="B350" s="52" t="s">
        <v>127</v>
      </c>
      <c r="C350" s="53">
        <v>36763</v>
      </c>
      <c r="D350" s="54" t="s">
        <v>121</v>
      </c>
      <c r="E350" s="54" t="s">
        <v>14</v>
      </c>
      <c r="F350" s="54" t="s">
        <v>15</v>
      </c>
      <c r="G350" s="54" t="s">
        <v>33</v>
      </c>
      <c r="H350" s="55">
        <v>0</v>
      </c>
      <c r="I350" s="56">
        <f t="shared" si="102"/>
        <v>0</v>
      </c>
      <c r="J350" s="66">
        <v>36800</v>
      </c>
      <c r="K350" s="50">
        <v>47500</v>
      </c>
      <c r="L350" s="57" t="s">
        <v>25</v>
      </c>
      <c r="M350" s="55" t="s">
        <v>120</v>
      </c>
      <c r="N350" s="58"/>
      <c r="O350" s="51">
        <f t="shared" si="103"/>
        <v>0</v>
      </c>
      <c r="Q350" s="59">
        <v>5.1050000000000004</v>
      </c>
      <c r="R350" s="60"/>
      <c r="T350" s="51">
        <v>0</v>
      </c>
      <c r="U350" s="61"/>
      <c r="V350" s="61"/>
      <c r="AA350" s="52"/>
      <c r="AB350" s="41" t="s">
        <v>297</v>
      </c>
    </row>
    <row r="351" spans="1:28" s="54" customFormat="1" x14ac:dyDescent="0.2">
      <c r="A351" s="52">
        <v>48</v>
      </c>
      <c r="B351" s="52" t="s">
        <v>127</v>
      </c>
      <c r="C351" s="53">
        <v>36763</v>
      </c>
      <c r="D351" s="54" t="s">
        <v>121</v>
      </c>
      <c r="E351" s="54" t="s">
        <v>14</v>
      </c>
      <c r="F351" s="54" t="s">
        <v>15</v>
      </c>
      <c r="G351" s="54" t="s">
        <v>33</v>
      </c>
      <c r="H351" s="55">
        <v>0</v>
      </c>
      <c r="I351" s="56">
        <f t="shared" si="102"/>
        <v>0</v>
      </c>
      <c r="J351" s="66">
        <v>36831</v>
      </c>
      <c r="K351" s="50">
        <v>47500</v>
      </c>
      <c r="L351" s="57" t="s">
        <v>25</v>
      </c>
      <c r="M351" s="55" t="s">
        <v>120</v>
      </c>
      <c r="N351" s="58"/>
      <c r="O351" s="51">
        <f t="shared" si="103"/>
        <v>0</v>
      </c>
      <c r="Q351" s="59">
        <v>4.3099999999999996</v>
      </c>
      <c r="R351" s="60"/>
      <c r="T351" s="51">
        <v>0</v>
      </c>
      <c r="U351" s="61"/>
      <c r="V351" s="61"/>
      <c r="AA351" s="52"/>
      <c r="AB351" s="41" t="s">
        <v>297</v>
      </c>
    </row>
    <row r="352" spans="1:28" s="54" customFormat="1" x14ac:dyDescent="0.2">
      <c r="A352" s="52">
        <v>48</v>
      </c>
      <c r="B352" s="52" t="s">
        <v>127</v>
      </c>
      <c r="C352" s="53">
        <v>36763</v>
      </c>
      <c r="D352" s="54" t="s">
        <v>121</v>
      </c>
      <c r="E352" s="54" t="s">
        <v>14</v>
      </c>
      <c r="F352" s="54" t="s">
        <v>15</v>
      </c>
      <c r="G352" s="54" t="s">
        <v>33</v>
      </c>
      <c r="H352" s="55">
        <v>0</v>
      </c>
      <c r="I352" s="56">
        <f t="shared" si="102"/>
        <v>0</v>
      </c>
      <c r="J352" s="66">
        <v>36861</v>
      </c>
      <c r="K352" s="50">
        <v>47500</v>
      </c>
      <c r="L352" s="57" t="s">
        <v>25</v>
      </c>
      <c r="M352" s="55" t="s">
        <v>120</v>
      </c>
      <c r="N352" s="58"/>
      <c r="O352" s="51">
        <f t="shared" si="103"/>
        <v>0</v>
      </c>
      <c r="Q352" s="59">
        <v>5.7750000000000004</v>
      </c>
      <c r="R352" s="60"/>
      <c r="T352" s="51">
        <v>0</v>
      </c>
      <c r="U352" s="61"/>
      <c r="V352" s="61"/>
      <c r="AA352" s="52"/>
      <c r="AB352" s="41" t="s">
        <v>297</v>
      </c>
    </row>
    <row r="353" spans="1:28" s="54" customFormat="1" x14ac:dyDescent="0.2">
      <c r="A353" s="52">
        <v>48</v>
      </c>
      <c r="B353" s="52" t="s">
        <v>127</v>
      </c>
      <c r="C353" s="53">
        <v>36763</v>
      </c>
      <c r="D353" s="54" t="s">
        <v>121</v>
      </c>
      <c r="E353" s="54" t="s">
        <v>14</v>
      </c>
      <c r="F353" s="54" t="s">
        <v>15</v>
      </c>
      <c r="G353" s="54" t="s">
        <v>33</v>
      </c>
      <c r="H353" s="55">
        <v>0</v>
      </c>
      <c r="I353" s="56">
        <f t="shared" si="102"/>
        <v>0</v>
      </c>
      <c r="J353" s="66">
        <v>36892</v>
      </c>
      <c r="K353" s="50">
        <v>47500</v>
      </c>
      <c r="L353" s="57" t="s">
        <v>25</v>
      </c>
      <c r="M353" s="55" t="s">
        <v>120</v>
      </c>
      <c r="N353" s="58"/>
      <c r="O353" s="51">
        <f t="shared" si="103"/>
        <v>0</v>
      </c>
      <c r="Q353" s="100">
        <v>9.5649999999999995</v>
      </c>
      <c r="R353" s="60"/>
      <c r="T353" s="62">
        <f>(8.22-Q353)*K353</f>
        <v>-63887.499999999949</v>
      </c>
      <c r="U353" s="61"/>
      <c r="V353" s="61"/>
      <c r="AA353" s="52"/>
      <c r="AB353" s="41" t="s">
        <v>297</v>
      </c>
    </row>
    <row r="354" spans="1:28" s="54" customFormat="1" x14ac:dyDescent="0.2">
      <c r="A354" s="52">
        <v>48</v>
      </c>
      <c r="B354" s="52" t="s">
        <v>127</v>
      </c>
      <c r="C354" s="53">
        <v>36763</v>
      </c>
      <c r="D354" s="54" t="s">
        <v>121</v>
      </c>
      <c r="E354" s="54" t="s">
        <v>14</v>
      </c>
      <c r="F354" s="54" t="s">
        <v>15</v>
      </c>
      <c r="G354" s="54" t="s">
        <v>33</v>
      </c>
      <c r="H354" s="55">
        <v>0</v>
      </c>
      <c r="I354" s="56">
        <f t="shared" si="102"/>
        <v>0</v>
      </c>
      <c r="J354" s="66">
        <v>36923</v>
      </c>
      <c r="K354" s="50">
        <v>47500</v>
      </c>
      <c r="L354" s="57" t="s">
        <v>25</v>
      </c>
      <c r="M354" s="55" t="s">
        <v>120</v>
      </c>
      <c r="N354" s="58"/>
      <c r="O354" s="51">
        <f t="shared" si="103"/>
        <v>0</v>
      </c>
      <c r="Q354" s="59"/>
      <c r="R354" s="60"/>
      <c r="T354" s="51"/>
      <c r="U354" s="61"/>
      <c r="V354" s="61"/>
      <c r="AA354" s="52"/>
      <c r="AB354" s="41" t="s">
        <v>297</v>
      </c>
    </row>
    <row r="356" spans="1:28" x14ac:dyDescent="0.2">
      <c r="A356" s="91">
        <v>49</v>
      </c>
      <c r="B356" s="91" t="s">
        <v>123</v>
      </c>
      <c r="C356" s="92">
        <v>36763</v>
      </c>
      <c r="D356" s="41" t="s">
        <v>54</v>
      </c>
      <c r="E356" s="41" t="s">
        <v>14</v>
      </c>
      <c r="F356" s="41" t="s">
        <v>15</v>
      </c>
      <c r="G356" s="41" t="s">
        <v>16</v>
      </c>
      <c r="H356" s="93">
        <v>0</v>
      </c>
      <c r="I356" s="94">
        <f t="shared" ref="I356:I361" si="104">+H356*K356</f>
        <v>0</v>
      </c>
      <c r="J356" s="95">
        <v>36770</v>
      </c>
      <c r="K356" s="96">
        <v>180000</v>
      </c>
      <c r="L356" s="97" t="s">
        <v>25</v>
      </c>
      <c r="M356" s="93">
        <v>4.51</v>
      </c>
      <c r="N356" s="99">
        <f t="shared" ref="N356:N361" si="105">K356*M356</f>
        <v>811800</v>
      </c>
      <c r="O356" s="62">
        <f t="shared" ref="O356:O361" si="106">0.0058*K356</f>
        <v>1044</v>
      </c>
      <c r="Q356" s="100">
        <v>4.45</v>
      </c>
      <c r="T356" s="62">
        <f>(M356-Q356)*K356</f>
        <v>10799.999999999929</v>
      </c>
      <c r="Y356" s="41" t="s">
        <v>180</v>
      </c>
      <c r="AA356" s="91" t="s">
        <v>202</v>
      </c>
      <c r="AB356" s="41" t="s">
        <v>296</v>
      </c>
    </row>
    <row r="357" spans="1:28" x14ac:dyDescent="0.2">
      <c r="A357" s="91">
        <v>49</v>
      </c>
      <c r="B357" s="91" t="s">
        <v>123</v>
      </c>
      <c r="C357" s="92">
        <v>36763</v>
      </c>
      <c r="D357" s="41" t="s">
        <v>54</v>
      </c>
      <c r="E357" s="41" t="s">
        <v>14</v>
      </c>
      <c r="F357" s="41" t="s">
        <v>15</v>
      </c>
      <c r="G357" s="41" t="s">
        <v>16</v>
      </c>
      <c r="H357" s="93">
        <v>0</v>
      </c>
      <c r="I357" s="94">
        <f t="shared" si="104"/>
        <v>0</v>
      </c>
      <c r="J357" s="95">
        <v>36800</v>
      </c>
      <c r="K357" s="96">
        <v>200000</v>
      </c>
      <c r="L357" s="97" t="s">
        <v>25</v>
      </c>
      <c r="M357" s="93">
        <v>4.51</v>
      </c>
      <c r="N357" s="99">
        <f t="shared" si="105"/>
        <v>902000</v>
      </c>
      <c r="O357" s="62">
        <f t="shared" si="106"/>
        <v>1160</v>
      </c>
      <c r="Q357" s="100">
        <v>5.1050000000000004</v>
      </c>
      <c r="T357" s="62">
        <f>(M357-Q357)*K357</f>
        <v>-119000.00000000013</v>
      </c>
      <c r="AA357" s="91" t="s">
        <v>202</v>
      </c>
      <c r="AB357" s="41" t="s">
        <v>296</v>
      </c>
    </row>
    <row r="358" spans="1:28" x14ac:dyDescent="0.2">
      <c r="A358" s="91">
        <v>49</v>
      </c>
      <c r="B358" s="91" t="s">
        <v>123</v>
      </c>
      <c r="C358" s="92">
        <v>36763</v>
      </c>
      <c r="D358" s="41" t="s">
        <v>54</v>
      </c>
      <c r="E358" s="41" t="s">
        <v>14</v>
      </c>
      <c r="F358" s="41" t="s">
        <v>15</v>
      </c>
      <c r="G358" s="41" t="s">
        <v>16</v>
      </c>
      <c r="H358" s="93">
        <v>0</v>
      </c>
      <c r="I358" s="94">
        <f t="shared" si="104"/>
        <v>0</v>
      </c>
      <c r="J358" s="95">
        <v>36831</v>
      </c>
      <c r="K358" s="96">
        <v>220000</v>
      </c>
      <c r="L358" s="97" t="s">
        <v>25</v>
      </c>
      <c r="M358" s="93">
        <v>4.51</v>
      </c>
      <c r="N358" s="99">
        <f t="shared" si="105"/>
        <v>992200</v>
      </c>
      <c r="O358" s="62">
        <f t="shared" si="106"/>
        <v>1276</v>
      </c>
      <c r="Q358" s="100">
        <v>4.3099999999999996</v>
      </c>
      <c r="T358" s="62">
        <f>(M358-Q358)*K358</f>
        <v>44000.000000000036</v>
      </c>
      <c r="AA358" s="91" t="s">
        <v>202</v>
      </c>
      <c r="AB358" s="41" t="s">
        <v>296</v>
      </c>
    </row>
    <row r="359" spans="1:28" x14ac:dyDescent="0.2">
      <c r="A359" s="91">
        <v>49</v>
      </c>
      <c r="B359" s="91" t="s">
        <v>123</v>
      </c>
      <c r="C359" s="92">
        <v>36763</v>
      </c>
      <c r="D359" s="41" t="s">
        <v>54</v>
      </c>
      <c r="E359" s="41" t="s">
        <v>14</v>
      </c>
      <c r="F359" s="41" t="s">
        <v>15</v>
      </c>
      <c r="G359" s="41" t="s">
        <v>16</v>
      </c>
      <c r="H359" s="93">
        <v>0</v>
      </c>
      <c r="I359" s="94">
        <f t="shared" si="104"/>
        <v>0</v>
      </c>
      <c r="J359" s="95">
        <v>36861</v>
      </c>
      <c r="K359" s="96">
        <v>260000</v>
      </c>
      <c r="L359" s="97" t="s">
        <v>25</v>
      </c>
      <c r="M359" s="93">
        <v>4.51</v>
      </c>
      <c r="N359" s="99">
        <f t="shared" si="105"/>
        <v>1172600</v>
      </c>
      <c r="O359" s="62">
        <f t="shared" si="106"/>
        <v>1508</v>
      </c>
      <c r="Q359" s="100">
        <v>5.7750000000000004</v>
      </c>
      <c r="T359" s="62">
        <f>(M359-Q359)*K359</f>
        <v>-328900.00000000017</v>
      </c>
      <c r="AA359" s="91" t="s">
        <v>202</v>
      </c>
      <c r="AB359" s="41" t="s">
        <v>296</v>
      </c>
    </row>
    <row r="360" spans="1:28" x14ac:dyDescent="0.2">
      <c r="A360" s="91">
        <v>49</v>
      </c>
      <c r="B360" s="91" t="s">
        <v>123</v>
      </c>
      <c r="C360" s="92">
        <v>36763</v>
      </c>
      <c r="D360" s="41" t="s">
        <v>54</v>
      </c>
      <c r="E360" s="41" t="s">
        <v>14</v>
      </c>
      <c r="F360" s="41" t="s">
        <v>15</v>
      </c>
      <c r="G360" s="41" t="s">
        <v>16</v>
      </c>
      <c r="H360" s="93">
        <v>0</v>
      </c>
      <c r="I360" s="94">
        <f t="shared" si="104"/>
        <v>0</v>
      </c>
      <c r="J360" s="95">
        <v>36892</v>
      </c>
      <c r="K360" s="96">
        <v>270000</v>
      </c>
      <c r="L360" s="97" t="s">
        <v>25</v>
      </c>
      <c r="M360" s="93">
        <v>4.51</v>
      </c>
      <c r="N360" s="99">
        <f t="shared" si="105"/>
        <v>1217700</v>
      </c>
      <c r="O360" s="62">
        <f t="shared" si="106"/>
        <v>1566</v>
      </c>
      <c r="Q360" s="100">
        <v>9.5649999999999995</v>
      </c>
      <c r="T360" s="62">
        <f>(M360-Q360)*K360</f>
        <v>-1364850</v>
      </c>
      <c r="U360" s="62"/>
      <c r="AA360" s="91" t="s">
        <v>202</v>
      </c>
      <c r="AB360" s="41" t="s">
        <v>296</v>
      </c>
    </row>
    <row r="361" spans="1:28" x14ac:dyDescent="0.2">
      <c r="A361" s="91">
        <v>49</v>
      </c>
      <c r="B361" s="91" t="s">
        <v>123</v>
      </c>
      <c r="C361" s="92">
        <v>36763</v>
      </c>
      <c r="D361" s="41" t="s">
        <v>54</v>
      </c>
      <c r="E361" s="41" t="s">
        <v>14</v>
      </c>
      <c r="F361" s="41" t="s">
        <v>15</v>
      </c>
      <c r="G361" s="41" t="s">
        <v>16</v>
      </c>
      <c r="H361" s="93">
        <v>0</v>
      </c>
      <c r="I361" s="94">
        <f t="shared" si="104"/>
        <v>0</v>
      </c>
      <c r="J361" s="95">
        <v>36923</v>
      </c>
      <c r="K361" s="96">
        <v>250000</v>
      </c>
      <c r="L361" s="97" t="s">
        <v>25</v>
      </c>
      <c r="M361" s="93">
        <v>4.51</v>
      </c>
      <c r="N361" s="99">
        <f t="shared" si="105"/>
        <v>1127500</v>
      </c>
      <c r="O361" s="62">
        <f t="shared" si="106"/>
        <v>1450</v>
      </c>
      <c r="R361" s="101">
        <v>8.26</v>
      </c>
      <c r="U361" s="62">
        <f>(M361-R361)*K361</f>
        <v>-937500</v>
      </c>
      <c r="AA361" s="91" t="s">
        <v>202</v>
      </c>
      <c r="AB361" s="41" t="s">
        <v>296</v>
      </c>
    </row>
    <row r="363" spans="1:28" x14ac:dyDescent="0.2">
      <c r="A363" s="91">
        <v>50</v>
      </c>
      <c r="B363" s="91" t="s">
        <v>124</v>
      </c>
      <c r="C363" s="92">
        <v>36763</v>
      </c>
      <c r="D363" s="41" t="s">
        <v>122</v>
      </c>
      <c r="E363" s="41" t="s">
        <v>14</v>
      </c>
      <c r="F363" s="41" t="s">
        <v>15</v>
      </c>
      <c r="G363" s="41" t="s">
        <v>16</v>
      </c>
      <c r="H363" s="93">
        <v>0</v>
      </c>
      <c r="I363" s="94">
        <f t="shared" ref="I363:I368" si="107">+H363*K363</f>
        <v>0</v>
      </c>
      <c r="J363" s="95">
        <v>36770</v>
      </c>
      <c r="K363" s="96">
        <v>20000</v>
      </c>
      <c r="L363" s="97" t="s">
        <v>25</v>
      </c>
      <c r="M363" s="93">
        <v>4.5025000000000004</v>
      </c>
      <c r="N363" s="99">
        <f t="shared" ref="N363:N368" si="108">K363*M363</f>
        <v>90050.000000000015</v>
      </c>
      <c r="O363" s="62">
        <f t="shared" ref="O363:O368" si="109">0.0055*K363</f>
        <v>110</v>
      </c>
      <c r="Q363" s="100">
        <v>4.45</v>
      </c>
      <c r="T363" s="62">
        <f>(M363-Q363)*K363</f>
        <v>1050.0000000000043</v>
      </c>
      <c r="Y363" s="41" t="s">
        <v>180</v>
      </c>
      <c r="AA363" s="91" t="s">
        <v>202</v>
      </c>
      <c r="AB363" s="41" t="s">
        <v>296</v>
      </c>
    </row>
    <row r="364" spans="1:28" x14ac:dyDescent="0.2">
      <c r="A364" s="91">
        <v>50</v>
      </c>
      <c r="B364" s="91" t="s">
        <v>124</v>
      </c>
      <c r="C364" s="92">
        <v>36763</v>
      </c>
      <c r="D364" s="41" t="s">
        <v>122</v>
      </c>
      <c r="E364" s="41" t="s">
        <v>14</v>
      </c>
      <c r="F364" s="41" t="s">
        <v>15</v>
      </c>
      <c r="G364" s="41" t="s">
        <v>16</v>
      </c>
      <c r="H364" s="93">
        <v>0</v>
      </c>
      <c r="I364" s="94">
        <f t="shared" si="107"/>
        <v>0</v>
      </c>
      <c r="J364" s="95">
        <v>36800</v>
      </c>
      <c r="K364" s="96">
        <v>20000</v>
      </c>
      <c r="L364" s="97" t="s">
        <v>25</v>
      </c>
      <c r="M364" s="93">
        <v>4.5025000000000004</v>
      </c>
      <c r="N364" s="99">
        <f t="shared" si="108"/>
        <v>90050.000000000015</v>
      </c>
      <c r="O364" s="62">
        <f t="shared" si="109"/>
        <v>110</v>
      </c>
      <c r="Q364" s="100">
        <v>5.1050000000000004</v>
      </c>
      <c r="T364" s="62">
        <f>(M364-Q364)*K364</f>
        <v>-12050</v>
      </c>
      <c r="AA364" s="91" t="s">
        <v>202</v>
      </c>
      <c r="AB364" s="41" t="s">
        <v>296</v>
      </c>
    </row>
    <row r="365" spans="1:28" x14ac:dyDescent="0.2">
      <c r="A365" s="91">
        <v>50</v>
      </c>
      <c r="B365" s="91" t="s">
        <v>124</v>
      </c>
      <c r="C365" s="92">
        <v>36763</v>
      </c>
      <c r="D365" s="41" t="s">
        <v>122</v>
      </c>
      <c r="E365" s="41" t="s">
        <v>14</v>
      </c>
      <c r="F365" s="41" t="s">
        <v>15</v>
      </c>
      <c r="G365" s="41" t="s">
        <v>16</v>
      </c>
      <c r="H365" s="93">
        <v>0</v>
      </c>
      <c r="I365" s="94">
        <f t="shared" si="107"/>
        <v>0</v>
      </c>
      <c r="J365" s="95">
        <v>36831</v>
      </c>
      <c r="K365" s="96">
        <v>20000</v>
      </c>
      <c r="L365" s="97" t="s">
        <v>25</v>
      </c>
      <c r="M365" s="93">
        <v>4.5025000000000004</v>
      </c>
      <c r="N365" s="99">
        <f t="shared" si="108"/>
        <v>90050.000000000015</v>
      </c>
      <c r="O365" s="62">
        <f t="shared" si="109"/>
        <v>110</v>
      </c>
      <c r="Q365" s="100">
        <v>4.3099999999999996</v>
      </c>
      <c r="T365" s="62">
        <f>(M365-Q365)*K365</f>
        <v>3850.0000000000155</v>
      </c>
      <c r="AA365" s="91" t="s">
        <v>202</v>
      </c>
      <c r="AB365" s="41" t="s">
        <v>296</v>
      </c>
    </row>
    <row r="366" spans="1:28" x14ac:dyDescent="0.2">
      <c r="A366" s="91">
        <v>50</v>
      </c>
      <c r="B366" s="91" t="s">
        <v>124</v>
      </c>
      <c r="C366" s="92">
        <v>36763</v>
      </c>
      <c r="D366" s="41" t="s">
        <v>122</v>
      </c>
      <c r="E366" s="41" t="s">
        <v>14</v>
      </c>
      <c r="F366" s="41" t="s">
        <v>15</v>
      </c>
      <c r="G366" s="41" t="s">
        <v>16</v>
      </c>
      <c r="H366" s="93">
        <v>0</v>
      </c>
      <c r="I366" s="94">
        <f t="shared" si="107"/>
        <v>0</v>
      </c>
      <c r="J366" s="95">
        <v>36861</v>
      </c>
      <c r="K366" s="96">
        <v>20000</v>
      </c>
      <c r="L366" s="97" t="s">
        <v>25</v>
      </c>
      <c r="M366" s="93">
        <v>4.5025000000000004</v>
      </c>
      <c r="N366" s="99">
        <f t="shared" si="108"/>
        <v>90050.000000000015</v>
      </c>
      <c r="O366" s="62">
        <f t="shared" si="109"/>
        <v>110</v>
      </c>
      <c r="Q366" s="100">
        <v>5.7750000000000004</v>
      </c>
      <c r="T366" s="62">
        <f>(M366-Q366)*K366</f>
        <v>-25450</v>
      </c>
      <c r="AA366" s="91" t="s">
        <v>202</v>
      </c>
      <c r="AB366" s="41" t="s">
        <v>296</v>
      </c>
    </row>
    <row r="367" spans="1:28" x14ac:dyDescent="0.2">
      <c r="A367" s="91">
        <v>50</v>
      </c>
      <c r="B367" s="91" t="s">
        <v>124</v>
      </c>
      <c r="C367" s="92">
        <v>36763</v>
      </c>
      <c r="D367" s="41" t="s">
        <v>122</v>
      </c>
      <c r="E367" s="41" t="s">
        <v>14</v>
      </c>
      <c r="F367" s="41" t="s">
        <v>15</v>
      </c>
      <c r="G367" s="41" t="s">
        <v>16</v>
      </c>
      <c r="H367" s="93">
        <v>0</v>
      </c>
      <c r="I367" s="94">
        <f t="shared" si="107"/>
        <v>0</v>
      </c>
      <c r="J367" s="95">
        <v>36892</v>
      </c>
      <c r="K367" s="96">
        <v>40000</v>
      </c>
      <c r="L367" s="97" t="s">
        <v>25</v>
      </c>
      <c r="M367" s="93">
        <v>4.5025000000000004</v>
      </c>
      <c r="N367" s="99">
        <f t="shared" si="108"/>
        <v>180100.00000000003</v>
      </c>
      <c r="O367" s="62">
        <f t="shared" si="109"/>
        <v>220</v>
      </c>
      <c r="Q367" s="100">
        <v>9.5649999999999995</v>
      </c>
      <c r="T367" s="62">
        <f>(M367-Q367)*K367</f>
        <v>-202499.99999999997</v>
      </c>
      <c r="U367" s="62"/>
      <c r="AA367" s="91" t="s">
        <v>202</v>
      </c>
      <c r="AB367" s="41" t="s">
        <v>296</v>
      </c>
    </row>
    <row r="368" spans="1:28" x14ac:dyDescent="0.2">
      <c r="A368" s="91">
        <v>50</v>
      </c>
      <c r="B368" s="91" t="s">
        <v>124</v>
      </c>
      <c r="C368" s="92">
        <v>36763</v>
      </c>
      <c r="D368" s="41" t="s">
        <v>122</v>
      </c>
      <c r="E368" s="41" t="s">
        <v>14</v>
      </c>
      <c r="F368" s="41" t="s">
        <v>15</v>
      </c>
      <c r="G368" s="41" t="s">
        <v>16</v>
      </c>
      <c r="H368" s="93">
        <v>0</v>
      </c>
      <c r="I368" s="94">
        <f t="shared" si="107"/>
        <v>0</v>
      </c>
      <c r="J368" s="95">
        <v>36923</v>
      </c>
      <c r="K368" s="96">
        <v>30000</v>
      </c>
      <c r="L368" s="97" t="s">
        <v>25</v>
      </c>
      <c r="M368" s="93">
        <v>4.5025000000000004</v>
      </c>
      <c r="N368" s="99">
        <f t="shared" si="108"/>
        <v>135075</v>
      </c>
      <c r="O368" s="62">
        <f t="shared" si="109"/>
        <v>165</v>
      </c>
      <c r="R368" s="101">
        <v>8.26</v>
      </c>
      <c r="U368" s="62">
        <f>(M368-R368)*K368</f>
        <v>-112724.99999999999</v>
      </c>
      <c r="AA368" s="91" t="s">
        <v>202</v>
      </c>
      <c r="AB368" s="41" t="s">
        <v>296</v>
      </c>
    </row>
    <row r="370" spans="1:28" s="54" customFormat="1" x14ac:dyDescent="0.2">
      <c r="A370" s="52">
        <v>51</v>
      </c>
      <c r="B370" s="52" t="s">
        <v>130</v>
      </c>
      <c r="C370" s="53">
        <v>36766</v>
      </c>
      <c r="D370" s="54" t="s">
        <v>131</v>
      </c>
      <c r="E370" s="54" t="s">
        <v>14</v>
      </c>
      <c r="F370" s="54" t="s">
        <v>15</v>
      </c>
      <c r="G370" s="54" t="s">
        <v>33</v>
      </c>
      <c r="H370" s="55">
        <v>0</v>
      </c>
      <c r="I370" s="56">
        <f t="shared" ref="I370:I375" si="110">+H370*K370</f>
        <v>0</v>
      </c>
      <c r="J370" s="66">
        <v>36770</v>
      </c>
      <c r="K370" s="50">
        <v>130000</v>
      </c>
      <c r="L370" s="57" t="s">
        <v>25</v>
      </c>
      <c r="M370" s="55" t="s">
        <v>132</v>
      </c>
      <c r="N370" s="58"/>
      <c r="O370" s="51">
        <f t="shared" ref="O370:O375" si="111">0.005*K370</f>
        <v>650</v>
      </c>
      <c r="Q370" s="59">
        <v>4.45</v>
      </c>
      <c r="R370" s="60"/>
      <c r="T370" s="51">
        <v>0</v>
      </c>
      <c r="U370" s="61"/>
      <c r="V370" s="61"/>
      <c r="Y370" s="54" t="s">
        <v>208</v>
      </c>
      <c r="AA370" s="52"/>
      <c r="AB370" s="41" t="s">
        <v>297</v>
      </c>
    </row>
    <row r="371" spans="1:28" s="54" customFormat="1" x14ac:dyDescent="0.2">
      <c r="A371" s="52">
        <v>51</v>
      </c>
      <c r="B371" s="52" t="s">
        <v>130</v>
      </c>
      <c r="C371" s="53">
        <v>36766</v>
      </c>
      <c r="D371" s="54" t="s">
        <v>131</v>
      </c>
      <c r="E371" s="54" t="s">
        <v>14</v>
      </c>
      <c r="F371" s="54" t="s">
        <v>15</v>
      </c>
      <c r="G371" s="54" t="s">
        <v>33</v>
      </c>
      <c r="H371" s="55">
        <v>0</v>
      </c>
      <c r="I371" s="56">
        <f t="shared" si="110"/>
        <v>0</v>
      </c>
      <c r="J371" s="66">
        <v>36800</v>
      </c>
      <c r="K371" s="50">
        <v>130000</v>
      </c>
      <c r="L371" s="57" t="s">
        <v>25</v>
      </c>
      <c r="M371" s="55" t="s">
        <v>132</v>
      </c>
      <c r="N371" s="58"/>
      <c r="O371" s="51">
        <f t="shared" si="111"/>
        <v>650</v>
      </c>
      <c r="Q371" s="59">
        <v>5.1050000000000004</v>
      </c>
      <c r="R371" s="60"/>
      <c r="T371" s="51">
        <v>0</v>
      </c>
      <c r="U371" s="61"/>
      <c r="V371" s="61"/>
      <c r="AA371" s="52"/>
      <c r="AB371" s="41" t="s">
        <v>297</v>
      </c>
    </row>
    <row r="372" spans="1:28" s="54" customFormat="1" x14ac:dyDescent="0.2">
      <c r="A372" s="52">
        <v>51</v>
      </c>
      <c r="B372" s="52" t="s">
        <v>130</v>
      </c>
      <c r="C372" s="53">
        <v>36766</v>
      </c>
      <c r="D372" s="54" t="s">
        <v>131</v>
      </c>
      <c r="E372" s="54" t="s">
        <v>14</v>
      </c>
      <c r="F372" s="54" t="s">
        <v>15</v>
      </c>
      <c r="G372" s="54" t="s">
        <v>33</v>
      </c>
      <c r="H372" s="55">
        <v>0</v>
      </c>
      <c r="I372" s="56">
        <f t="shared" si="110"/>
        <v>0</v>
      </c>
      <c r="J372" s="66">
        <v>36831</v>
      </c>
      <c r="K372" s="50">
        <v>130000</v>
      </c>
      <c r="L372" s="57" t="s">
        <v>25</v>
      </c>
      <c r="M372" s="55" t="s">
        <v>132</v>
      </c>
      <c r="N372" s="58"/>
      <c r="O372" s="51">
        <f t="shared" si="111"/>
        <v>650</v>
      </c>
      <c r="Q372" s="59">
        <v>4.3099999999999996</v>
      </c>
      <c r="R372" s="60"/>
      <c r="T372" s="51">
        <v>0</v>
      </c>
      <c r="U372" s="61"/>
      <c r="V372" s="61"/>
      <c r="AA372" s="52"/>
      <c r="AB372" s="41" t="s">
        <v>297</v>
      </c>
    </row>
    <row r="373" spans="1:28" s="54" customFormat="1" x14ac:dyDescent="0.2">
      <c r="A373" s="52">
        <v>51</v>
      </c>
      <c r="B373" s="52" t="s">
        <v>130</v>
      </c>
      <c r="C373" s="53">
        <v>36766</v>
      </c>
      <c r="D373" s="54" t="s">
        <v>131</v>
      </c>
      <c r="E373" s="54" t="s">
        <v>14</v>
      </c>
      <c r="F373" s="54" t="s">
        <v>15</v>
      </c>
      <c r="G373" s="54" t="s">
        <v>33</v>
      </c>
      <c r="H373" s="55">
        <v>0</v>
      </c>
      <c r="I373" s="56">
        <f t="shared" si="110"/>
        <v>0</v>
      </c>
      <c r="J373" s="66">
        <v>36861</v>
      </c>
      <c r="K373" s="50">
        <v>130000</v>
      </c>
      <c r="L373" s="57" t="s">
        <v>25</v>
      </c>
      <c r="M373" s="55" t="s">
        <v>132</v>
      </c>
      <c r="N373" s="58"/>
      <c r="O373" s="51">
        <f t="shared" si="111"/>
        <v>650</v>
      </c>
      <c r="Q373" s="59">
        <v>5.7750000000000004</v>
      </c>
      <c r="R373" s="60"/>
      <c r="T373" s="51">
        <v>0</v>
      </c>
      <c r="U373" s="61"/>
      <c r="V373" s="61"/>
      <c r="AA373" s="52"/>
      <c r="AB373" s="41" t="s">
        <v>297</v>
      </c>
    </row>
    <row r="374" spans="1:28" s="54" customFormat="1" x14ac:dyDescent="0.2">
      <c r="A374" s="52">
        <v>51</v>
      </c>
      <c r="B374" s="52" t="s">
        <v>130</v>
      </c>
      <c r="C374" s="53">
        <v>36766</v>
      </c>
      <c r="D374" s="54" t="s">
        <v>131</v>
      </c>
      <c r="E374" s="54" t="s">
        <v>14</v>
      </c>
      <c r="F374" s="54" t="s">
        <v>15</v>
      </c>
      <c r="G374" s="54" t="s">
        <v>33</v>
      </c>
      <c r="H374" s="55">
        <v>0</v>
      </c>
      <c r="I374" s="56">
        <f t="shared" si="110"/>
        <v>0</v>
      </c>
      <c r="J374" s="66">
        <v>36892</v>
      </c>
      <c r="K374" s="50">
        <v>130000</v>
      </c>
      <c r="L374" s="57" t="s">
        <v>25</v>
      </c>
      <c r="M374" s="55" t="s">
        <v>132</v>
      </c>
      <c r="N374" s="58"/>
      <c r="O374" s="51">
        <f t="shared" si="111"/>
        <v>650</v>
      </c>
      <c r="Q374" s="100">
        <v>9.5649999999999995</v>
      </c>
      <c r="R374" s="60"/>
      <c r="T374" s="62">
        <f>(8.22-Q374)*K374</f>
        <v>-174849.99999999985</v>
      </c>
      <c r="U374" s="61"/>
      <c r="V374" s="61"/>
      <c r="AA374" s="52"/>
      <c r="AB374" s="41" t="s">
        <v>297</v>
      </c>
    </row>
    <row r="375" spans="1:28" s="54" customFormat="1" x14ac:dyDescent="0.2">
      <c r="A375" s="52">
        <v>51</v>
      </c>
      <c r="B375" s="52" t="s">
        <v>130</v>
      </c>
      <c r="C375" s="53">
        <v>36766</v>
      </c>
      <c r="D375" s="54" t="s">
        <v>131</v>
      </c>
      <c r="E375" s="54" t="s">
        <v>14</v>
      </c>
      <c r="F375" s="54" t="s">
        <v>15</v>
      </c>
      <c r="G375" s="54" t="s">
        <v>33</v>
      </c>
      <c r="H375" s="55">
        <v>0</v>
      </c>
      <c r="I375" s="56">
        <f t="shared" si="110"/>
        <v>0</v>
      </c>
      <c r="J375" s="66">
        <v>36923</v>
      </c>
      <c r="K375" s="50">
        <v>130000</v>
      </c>
      <c r="L375" s="57" t="s">
        <v>25</v>
      </c>
      <c r="M375" s="55" t="s">
        <v>132</v>
      </c>
      <c r="N375" s="58"/>
      <c r="O375" s="51">
        <f t="shared" si="111"/>
        <v>650</v>
      </c>
      <c r="Q375" s="59"/>
      <c r="R375" s="60"/>
      <c r="T375" s="51"/>
      <c r="U375" s="61"/>
      <c r="V375" s="61"/>
      <c r="AA375" s="52"/>
      <c r="AB375" s="41" t="s">
        <v>297</v>
      </c>
    </row>
    <row r="377" spans="1:28" x14ac:dyDescent="0.2">
      <c r="A377" s="91">
        <v>52</v>
      </c>
      <c r="C377" s="92">
        <v>36766</v>
      </c>
      <c r="D377" s="41" t="s">
        <v>133</v>
      </c>
      <c r="E377" s="41" t="s">
        <v>14</v>
      </c>
      <c r="F377" s="41" t="s">
        <v>21</v>
      </c>
      <c r="G377" s="41" t="s">
        <v>134</v>
      </c>
      <c r="H377" s="93">
        <v>0</v>
      </c>
      <c r="I377" s="94">
        <f t="shared" ref="I377:I382" si="112">+H377*K377</f>
        <v>0</v>
      </c>
      <c r="J377" s="95">
        <v>36770</v>
      </c>
      <c r="K377" s="96">
        <v>20000</v>
      </c>
      <c r="L377" s="97" t="s">
        <v>25</v>
      </c>
      <c r="M377" s="93">
        <v>-0.03</v>
      </c>
      <c r="N377" s="99">
        <f t="shared" ref="N377:N382" si="113">K377*M377</f>
        <v>-600</v>
      </c>
      <c r="O377" s="62">
        <f t="shared" ref="O377:O382" si="114">0.0025*K377</f>
        <v>50</v>
      </c>
      <c r="Q377" s="100">
        <f>(4.64-4.618)</f>
        <v>2.1999999999999353E-2</v>
      </c>
      <c r="T377" s="62">
        <f>(M377-Q377)*K377</f>
        <v>-1039.999999999987</v>
      </c>
    </row>
    <row r="378" spans="1:28" x14ac:dyDescent="0.2">
      <c r="A378" s="91">
        <v>52</v>
      </c>
      <c r="C378" s="92">
        <v>36766</v>
      </c>
      <c r="D378" s="41" t="s">
        <v>133</v>
      </c>
      <c r="E378" s="41" t="s">
        <v>14</v>
      </c>
      <c r="F378" s="41" t="s">
        <v>21</v>
      </c>
      <c r="G378" s="41" t="s">
        <v>134</v>
      </c>
      <c r="H378" s="93">
        <v>0</v>
      </c>
      <c r="I378" s="94">
        <f t="shared" si="112"/>
        <v>0</v>
      </c>
      <c r="J378" s="95">
        <v>36800</v>
      </c>
      <c r="K378" s="96">
        <v>20000</v>
      </c>
      <c r="L378" s="97" t="s">
        <v>25</v>
      </c>
      <c r="M378" s="93">
        <v>-0.03</v>
      </c>
      <c r="N378" s="99">
        <f t="shared" si="113"/>
        <v>-600</v>
      </c>
      <c r="O378" s="62">
        <f t="shared" si="114"/>
        <v>50</v>
      </c>
    </row>
    <row r="379" spans="1:28" x14ac:dyDescent="0.2">
      <c r="A379" s="91">
        <v>52</v>
      </c>
      <c r="C379" s="92">
        <v>36766</v>
      </c>
      <c r="D379" s="41" t="s">
        <v>133</v>
      </c>
      <c r="E379" s="41" t="s">
        <v>14</v>
      </c>
      <c r="F379" s="41" t="s">
        <v>21</v>
      </c>
      <c r="G379" s="41" t="s">
        <v>134</v>
      </c>
      <c r="H379" s="93">
        <v>0</v>
      </c>
      <c r="I379" s="94">
        <f t="shared" si="112"/>
        <v>0</v>
      </c>
      <c r="J379" s="95">
        <v>36831</v>
      </c>
      <c r="K379" s="96">
        <v>20000</v>
      </c>
      <c r="L379" s="97" t="s">
        <v>25</v>
      </c>
      <c r="M379" s="93">
        <v>-0.03</v>
      </c>
      <c r="N379" s="99">
        <f t="shared" si="113"/>
        <v>-600</v>
      </c>
      <c r="O379" s="62">
        <f t="shared" si="114"/>
        <v>50</v>
      </c>
    </row>
    <row r="380" spans="1:28" x14ac:dyDescent="0.2">
      <c r="A380" s="91">
        <v>52</v>
      </c>
      <c r="C380" s="92">
        <v>36766</v>
      </c>
      <c r="D380" s="41" t="s">
        <v>133</v>
      </c>
      <c r="E380" s="41" t="s">
        <v>14</v>
      </c>
      <c r="F380" s="41" t="s">
        <v>21</v>
      </c>
      <c r="G380" s="41" t="s">
        <v>134</v>
      </c>
      <c r="H380" s="93">
        <v>0</v>
      </c>
      <c r="I380" s="94">
        <f t="shared" si="112"/>
        <v>0</v>
      </c>
      <c r="J380" s="95">
        <v>36861</v>
      </c>
      <c r="K380" s="96">
        <v>20000</v>
      </c>
      <c r="L380" s="97" t="s">
        <v>25</v>
      </c>
      <c r="M380" s="93">
        <v>-0.03</v>
      </c>
      <c r="N380" s="99">
        <f t="shared" si="113"/>
        <v>-600</v>
      </c>
      <c r="O380" s="62">
        <f t="shared" si="114"/>
        <v>50</v>
      </c>
    </row>
    <row r="381" spans="1:28" x14ac:dyDescent="0.2">
      <c r="A381" s="91">
        <v>52</v>
      </c>
      <c r="C381" s="92">
        <v>36766</v>
      </c>
      <c r="D381" s="41" t="s">
        <v>133</v>
      </c>
      <c r="E381" s="41" t="s">
        <v>14</v>
      </c>
      <c r="F381" s="41" t="s">
        <v>21</v>
      </c>
      <c r="G381" s="41" t="s">
        <v>134</v>
      </c>
      <c r="H381" s="93">
        <v>0</v>
      </c>
      <c r="I381" s="94">
        <f t="shared" si="112"/>
        <v>0</v>
      </c>
      <c r="J381" s="95">
        <v>36892</v>
      </c>
      <c r="K381" s="96">
        <v>20000</v>
      </c>
      <c r="L381" s="97" t="s">
        <v>25</v>
      </c>
      <c r="M381" s="93">
        <v>-0.03</v>
      </c>
      <c r="N381" s="99">
        <f t="shared" si="113"/>
        <v>-600</v>
      </c>
      <c r="O381" s="62">
        <f t="shared" si="114"/>
        <v>50</v>
      </c>
    </row>
    <row r="382" spans="1:28" x14ac:dyDescent="0.2">
      <c r="A382" s="91">
        <v>52</v>
      </c>
      <c r="C382" s="92">
        <v>36766</v>
      </c>
      <c r="D382" s="41" t="s">
        <v>133</v>
      </c>
      <c r="E382" s="41" t="s">
        <v>14</v>
      </c>
      <c r="F382" s="41" t="s">
        <v>21</v>
      </c>
      <c r="G382" s="41" t="s">
        <v>134</v>
      </c>
      <c r="H382" s="93">
        <v>0</v>
      </c>
      <c r="I382" s="94">
        <f t="shared" si="112"/>
        <v>0</v>
      </c>
      <c r="J382" s="95">
        <v>36923</v>
      </c>
      <c r="K382" s="96">
        <v>20000</v>
      </c>
      <c r="L382" s="97" t="s">
        <v>25</v>
      </c>
      <c r="M382" s="93">
        <v>-0.03</v>
      </c>
      <c r="N382" s="99">
        <f t="shared" si="113"/>
        <v>-600</v>
      </c>
      <c r="O382" s="62">
        <f t="shared" si="114"/>
        <v>50</v>
      </c>
    </row>
    <row r="384" spans="1:28" x14ac:dyDescent="0.2">
      <c r="A384" s="91">
        <v>53</v>
      </c>
      <c r="B384" s="91" t="s">
        <v>135</v>
      </c>
      <c r="C384" s="92">
        <v>36766</v>
      </c>
      <c r="D384" s="41" t="s">
        <v>136</v>
      </c>
      <c r="E384" s="41" t="s">
        <v>14</v>
      </c>
      <c r="F384" s="41" t="s">
        <v>15</v>
      </c>
      <c r="G384" s="41" t="s">
        <v>33</v>
      </c>
      <c r="H384" s="93">
        <v>0.26500000000000001</v>
      </c>
      <c r="I384" s="94">
        <f t="shared" ref="I384:I389" si="115">+H384*K384</f>
        <v>12455</v>
      </c>
      <c r="J384" s="95">
        <v>36770</v>
      </c>
      <c r="K384" s="96">
        <v>47000</v>
      </c>
      <c r="L384" s="97" t="s">
        <v>25</v>
      </c>
      <c r="M384" s="93" t="s">
        <v>137</v>
      </c>
      <c r="O384" s="62">
        <f t="shared" ref="O384:O389" si="116">0.01*K384</f>
        <v>470</v>
      </c>
      <c r="Q384" s="100">
        <v>4.45</v>
      </c>
      <c r="T384" s="62">
        <v>0</v>
      </c>
      <c r="Y384" s="41" t="s">
        <v>206</v>
      </c>
      <c r="AA384" s="91" t="s">
        <v>202</v>
      </c>
      <c r="AB384" s="41" t="s">
        <v>296</v>
      </c>
    </row>
    <row r="385" spans="1:28" x14ac:dyDescent="0.2">
      <c r="A385" s="91">
        <v>53</v>
      </c>
      <c r="B385" s="91" t="s">
        <v>135</v>
      </c>
      <c r="C385" s="92">
        <v>36766</v>
      </c>
      <c r="D385" s="41" t="s">
        <v>136</v>
      </c>
      <c r="E385" s="41" t="s">
        <v>14</v>
      </c>
      <c r="F385" s="41" t="s">
        <v>15</v>
      </c>
      <c r="G385" s="41" t="s">
        <v>33</v>
      </c>
      <c r="H385" s="93">
        <v>0.26500000000000001</v>
      </c>
      <c r="I385" s="94">
        <f t="shared" si="115"/>
        <v>12455</v>
      </c>
      <c r="J385" s="95">
        <v>36800</v>
      </c>
      <c r="K385" s="96">
        <v>47000</v>
      </c>
      <c r="L385" s="97" t="s">
        <v>25</v>
      </c>
      <c r="M385" s="93" t="s">
        <v>137</v>
      </c>
      <c r="O385" s="62">
        <f t="shared" si="116"/>
        <v>470</v>
      </c>
      <c r="Q385" s="100">
        <v>5.1050000000000004</v>
      </c>
      <c r="T385" s="62">
        <f>(4.7-Q385)*K385</f>
        <v>-19035.000000000011</v>
      </c>
      <c r="AA385" s="91" t="s">
        <v>202</v>
      </c>
      <c r="AB385" s="41" t="s">
        <v>296</v>
      </c>
    </row>
    <row r="386" spans="1:28" x14ac:dyDescent="0.2">
      <c r="A386" s="91">
        <v>53</v>
      </c>
      <c r="B386" s="91" t="s">
        <v>135</v>
      </c>
      <c r="C386" s="92">
        <v>36766</v>
      </c>
      <c r="D386" s="41" t="s">
        <v>136</v>
      </c>
      <c r="E386" s="41" t="s">
        <v>14</v>
      </c>
      <c r="F386" s="41" t="s">
        <v>15</v>
      </c>
      <c r="G386" s="41" t="s">
        <v>33</v>
      </c>
      <c r="H386" s="93">
        <v>0.26500000000000001</v>
      </c>
      <c r="I386" s="94">
        <f t="shared" si="115"/>
        <v>12455</v>
      </c>
      <c r="J386" s="95">
        <v>36831</v>
      </c>
      <c r="K386" s="96">
        <v>47000</v>
      </c>
      <c r="L386" s="97" t="s">
        <v>25</v>
      </c>
      <c r="M386" s="93" t="s">
        <v>137</v>
      </c>
      <c r="O386" s="62">
        <f t="shared" si="116"/>
        <v>470</v>
      </c>
      <c r="Q386" s="100">
        <v>4.3099999999999996</v>
      </c>
      <c r="T386" s="62">
        <v>0</v>
      </c>
      <c r="AA386" s="91" t="s">
        <v>202</v>
      </c>
      <c r="AB386" s="41" t="s">
        <v>296</v>
      </c>
    </row>
    <row r="387" spans="1:28" x14ac:dyDescent="0.2">
      <c r="A387" s="91">
        <v>53</v>
      </c>
      <c r="B387" s="91" t="s">
        <v>135</v>
      </c>
      <c r="C387" s="92">
        <v>36766</v>
      </c>
      <c r="D387" s="41" t="s">
        <v>136</v>
      </c>
      <c r="E387" s="41" t="s">
        <v>14</v>
      </c>
      <c r="F387" s="41" t="s">
        <v>15</v>
      </c>
      <c r="G387" s="41" t="s">
        <v>33</v>
      </c>
      <c r="H387" s="93">
        <v>0.26500000000000001</v>
      </c>
      <c r="I387" s="94">
        <f t="shared" si="115"/>
        <v>12455</v>
      </c>
      <c r="J387" s="95">
        <v>36861</v>
      </c>
      <c r="K387" s="96">
        <v>47000</v>
      </c>
      <c r="L387" s="97" t="s">
        <v>25</v>
      </c>
      <c r="M387" s="93" t="s">
        <v>137</v>
      </c>
      <c r="O387" s="62">
        <f t="shared" si="116"/>
        <v>470</v>
      </c>
      <c r="Q387" s="100">
        <v>5.7750000000000004</v>
      </c>
      <c r="T387" s="62">
        <f>(4.7-Q387)*K387</f>
        <v>-50525.000000000007</v>
      </c>
      <c r="AA387" s="91" t="s">
        <v>202</v>
      </c>
      <c r="AB387" s="41" t="s">
        <v>296</v>
      </c>
    </row>
    <row r="388" spans="1:28" x14ac:dyDescent="0.2">
      <c r="A388" s="91">
        <v>53</v>
      </c>
      <c r="B388" s="91" t="s">
        <v>135</v>
      </c>
      <c r="C388" s="92">
        <v>36766</v>
      </c>
      <c r="D388" s="41" t="s">
        <v>136</v>
      </c>
      <c r="E388" s="41" t="s">
        <v>14</v>
      </c>
      <c r="F388" s="41" t="s">
        <v>15</v>
      </c>
      <c r="G388" s="41" t="s">
        <v>33</v>
      </c>
      <c r="H388" s="93">
        <v>0.26500000000000001</v>
      </c>
      <c r="I388" s="94">
        <f t="shared" si="115"/>
        <v>12455</v>
      </c>
      <c r="J388" s="95">
        <v>36892</v>
      </c>
      <c r="K388" s="96">
        <v>47000</v>
      </c>
      <c r="L388" s="97" t="s">
        <v>25</v>
      </c>
      <c r="M388" s="93" t="s">
        <v>137</v>
      </c>
      <c r="O388" s="62">
        <f t="shared" si="116"/>
        <v>470</v>
      </c>
      <c r="Q388" s="100">
        <v>9.5649999999999995</v>
      </c>
      <c r="T388" s="62">
        <f>(4.7-Q388)*K388</f>
        <v>-228654.99999999997</v>
      </c>
      <c r="AA388" s="91" t="s">
        <v>202</v>
      </c>
      <c r="AB388" s="41" t="s">
        <v>296</v>
      </c>
    </row>
    <row r="389" spans="1:28" x14ac:dyDescent="0.2">
      <c r="A389" s="91">
        <v>53</v>
      </c>
      <c r="B389" s="91" t="s">
        <v>135</v>
      </c>
      <c r="C389" s="92">
        <v>36766</v>
      </c>
      <c r="D389" s="41" t="s">
        <v>136</v>
      </c>
      <c r="E389" s="41" t="s">
        <v>14</v>
      </c>
      <c r="F389" s="41" t="s">
        <v>15</v>
      </c>
      <c r="G389" s="41" t="s">
        <v>33</v>
      </c>
      <c r="H389" s="93">
        <v>0.26500000000000001</v>
      </c>
      <c r="I389" s="94">
        <f t="shared" si="115"/>
        <v>12455</v>
      </c>
      <c r="J389" s="95">
        <v>36923</v>
      </c>
      <c r="K389" s="96">
        <v>47000</v>
      </c>
      <c r="L389" s="97" t="s">
        <v>25</v>
      </c>
      <c r="M389" s="93" t="s">
        <v>137</v>
      </c>
      <c r="O389" s="62">
        <f t="shared" si="116"/>
        <v>470</v>
      </c>
      <c r="AA389" s="91" t="s">
        <v>202</v>
      </c>
      <c r="AB389" s="41" t="s">
        <v>296</v>
      </c>
    </row>
    <row r="391" spans="1:28" x14ac:dyDescent="0.2">
      <c r="A391" s="91">
        <v>54</v>
      </c>
      <c r="B391" s="91" t="s">
        <v>138</v>
      </c>
      <c r="C391" s="92">
        <v>36766</v>
      </c>
      <c r="D391" s="41" t="s">
        <v>136</v>
      </c>
      <c r="E391" s="41" t="s">
        <v>14</v>
      </c>
      <c r="F391" s="41" t="s">
        <v>15</v>
      </c>
      <c r="G391" s="41" t="s">
        <v>112</v>
      </c>
      <c r="H391" s="93">
        <v>0.47</v>
      </c>
      <c r="I391" s="94">
        <f t="shared" ref="I391:I396" si="117">+H391*K391</f>
        <v>11045</v>
      </c>
      <c r="J391" s="95">
        <v>36770</v>
      </c>
      <c r="K391" s="96">
        <v>23500</v>
      </c>
      <c r="L391" s="97" t="s">
        <v>25</v>
      </c>
      <c r="M391" s="93">
        <v>4.6399999999999997</v>
      </c>
      <c r="N391" s="99">
        <f t="shared" ref="N391:N396" si="118">K391*M391</f>
        <v>109039.99999999999</v>
      </c>
      <c r="O391" s="62">
        <f t="shared" ref="O391:O396" si="119">0.025*K391</f>
        <v>587.5</v>
      </c>
      <c r="Q391" s="100">
        <v>4.45</v>
      </c>
      <c r="T391" s="62">
        <v>0</v>
      </c>
      <c r="Y391" s="41" t="s">
        <v>206</v>
      </c>
      <c r="AA391" s="91" t="s">
        <v>202</v>
      </c>
      <c r="AB391" s="41" t="s">
        <v>296</v>
      </c>
    </row>
    <row r="392" spans="1:28" x14ac:dyDescent="0.2">
      <c r="A392" s="91">
        <v>54</v>
      </c>
      <c r="B392" s="91" t="s">
        <v>138</v>
      </c>
      <c r="C392" s="92">
        <v>36766</v>
      </c>
      <c r="D392" s="41" t="s">
        <v>136</v>
      </c>
      <c r="E392" s="41" t="s">
        <v>14</v>
      </c>
      <c r="F392" s="41" t="s">
        <v>15</v>
      </c>
      <c r="G392" s="41" t="s">
        <v>112</v>
      </c>
      <c r="H392" s="93">
        <v>0.47</v>
      </c>
      <c r="I392" s="94">
        <f t="shared" si="117"/>
        <v>11045</v>
      </c>
      <c r="J392" s="95">
        <v>36800</v>
      </c>
      <c r="K392" s="96">
        <v>23500</v>
      </c>
      <c r="L392" s="97" t="s">
        <v>25</v>
      </c>
      <c r="M392" s="93">
        <v>4.6399999999999997</v>
      </c>
      <c r="N392" s="99">
        <f t="shared" si="118"/>
        <v>109039.99999999999</v>
      </c>
      <c r="O392" s="62">
        <f t="shared" si="119"/>
        <v>587.5</v>
      </c>
      <c r="Q392" s="100">
        <f>+Q385</f>
        <v>5.1050000000000004</v>
      </c>
      <c r="T392" s="62">
        <f>(M392-Q392)*K392</f>
        <v>-10927.500000000018</v>
      </c>
      <c r="AA392" s="91" t="s">
        <v>202</v>
      </c>
      <c r="AB392" s="41" t="s">
        <v>296</v>
      </c>
    </row>
    <row r="393" spans="1:28" x14ac:dyDescent="0.2">
      <c r="A393" s="91">
        <v>54</v>
      </c>
      <c r="B393" s="91" t="s">
        <v>138</v>
      </c>
      <c r="C393" s="92">
        <v>36766</v>
      </c>
      <c r="D393" s="41" t="s">
        <v>136</v>
      </c>
      <c r="E393" s="41" t="s">
        <v>14</v>
      </c>
      <c r="F393" s="41" t="s">
        <v>15</v>
      </c>
      <c r="G393" s="41" t="s">
        <v>112</v>
      </c>
      <c r="H393" s="93">
        <v>0.47</v>
      </c>
      <c r="I393" s="94">
        <f t="shared" si="117"/>
        <v>11045</v>
      </c>
      <c r="J393" s="95">
        <v>36831</v>
      </c>
      <c r="K393" s="96">
        <v>23500</v>
      </c>
      <c r="L393" s="97" t="s">
        <v>25</v>
      </c>
      <c r="M393" s="93">
        <v>4.6399999999999997</v>
      </c>
      <c r="N393" s="99">
        <f t="shared" si="118"/>
        <v>109039.99999999999</v>
      </c>
      <c r="O393" s="62">
        <f t="shared" si="119"/>
        <v>587.5</v>
      </c>
      <c r="Q393" s="100">
        <v>4.3099999999999996</v>
      </c>
      <c r="T393" s="62">
        <v>0</v>
      </c>
      <c r="AA393" s="91" t="s">
        <v>202</v>
      </c>
      <c r="AB393" s="41" t="s">
        <v>296</v>
      </c>
    </row>
    <row r="394" spans="1:28" x14ac:dyDescent="0.2">
      <c r="A394" s="91">
        <v>54</v>
      </c>
      <c r="B394" s="91" t="s">
        <v>138</v>
      </c>
      <c r="C394" s="92">
        <v>36766</v>
      </c>
      <c r="D394" s="41" t="s">
        <v>136</v>
      </c>
      <c r="E394" s="41" t="s">
        <v>14</v>
      </c>
      <c r="F394" s="41" t="s">
        <v>15</v>
      </c>
      <c r="G394" s="41" t="s">
        <v>112</v>
      </c>
      <c r="H394" s="93">
        <v>0.47</v>
      </c>
      <c r="I394" s="94">
        <f t="shared" si="117"/>
        <v>11045</v>
      </c>
      <c r="J394" s="95">
        <v>36861</v>
      </c>
      <c r="K394" s="96">
        <v>23500</v>
      </c>
      <c r="L394" s="97" t="s">
        <v>25</v>
      </c>
      <c r="M394" s="93">
        <v>4.6399999999999997</v>
      </c>
      <c r="N394" s="99">
        <f t="shared" si="118"/>
        <v>109039.99999999999</v>
      </c>
      <c r="O394" s="62">
        <f t="shared" si="119"/>
        <v>587.5</v>
      </c>
      <c r="Q394" s="100">
        <v>5.7750000000000004</v>
      </c>
      <c r="T394" s="62">
        <f>(M394-Q394)*K394</f>
        <v>-26672.500000000015</v>
      </c>
      <c r="AA394" s="91" t="s">
        <v>202</v>
      </c>
      <c r="AB394" s="41" t="s">
        <v>296</v>
      </c>
    </row>
    <row r="395" spans="1:28" x14ac:dyDescent="0.2">
      <c r="A395" s="91">
        <v>54</v>
      </c>
      <c r="B395" s="91" t="s">
        <v>138</v>
      </c>
      <c r="C395" s="92">
        <v>36766</v>
      </c>
      <c r="D395" s="41" t="s">
        <v>136</v>
      </c>
      <c r="E395" s="41" t="s">
        <v>14</v>
      </c>
      <c r="F395" s="41" t="s">
        <v>15</v>
      </c>
      <c r="G395" s="41" t="s">
        <v>112</v>
      </c>
      <c r="H395" s="93">
        <v>0.47</v>
      </c>
      <c r="I395" s="94">
        <f t="shared" si="117"/>
        <v>11045</v>
      </c>
      <c r="J395" s="95">
        <v>36892</v>
      </c>
      <c r="K395" s="96">
        <v>23500</v>
      </c>
      <c r="L395" s="97" t="s">
        <v>25</v>
      </c>
      <c r="M395" s="93">
        <v>4.6399999999999997</v>
      </c>
      <c r="N395" s="99">
        <f t="shared" si="118"/>
        <v>109039.99999999999</v>
      </c>
      <c r="O395" s="62">
        <f t="shared" si="119"/>
        <v>587.5</v>
      </c>
      <c r="Q395" s="100">
        <v>9.5649999999999995</v>
      </c>
      <c r="T395" s="62">
        <f>(4.64-Q395)*K395</f>
        <v>-115737.5</v>
      </c>
      <c r="AA395" s="91" t="s">
        <v>202</v>
      </c>
      <c r="AB395" s="41" t="s">
        <v>296</v>
      </c>
    </row>
    <row r="396" spans="1:28" x14ac:dyDescent="0.2">
      <c r="A396" s="91">
        <v>54</v>
      </c>
      <c r="B396" s="91" t="s">
        <v>138</v>
      </c>
      <c r="C396" s="92">
        <v>36766</v>
      </c>
      <c r="D396" s="41" t="s">
        <v>136</v>
      </c>
      <c r="E396" s="41" t="s">
        <v>14</v>
      </c>
      <c r="F396" s="41" t="s">
        <v>15</v>
      </c>
      <c r="G396" s="41" t="s">
        <v>112</v>
      </c>
      <c r="H396" s="93">
        <v>0.47</v>
      </c>
      <c r="I396" s="94">
        <f t="shared" si="117"/>
        <v>11045</v>
      </c>
      <c r="J396" s="95">
        <v>36923</v>
      </c>
      <c r="K396" s="96">
        <v>23500</v>
      </c>
      <c r="L396" s="97" t="s">
        <v>25</v>
      </c>
      <c r="M396" s="93">
        <v>4.6399999999999997</v>
      </c>
      <c r="N396" s="99">
        <f t="shared" si="118"/>
        <v>109039.99999999999</v>
      </c>
      <c r="O396" s="62">
        <f t="shared" si="119"/>
        <v>587.5</v>
      </c>
      <c r="AA396" s="91" t="s">
        <v>202</v>
      </c>
      <c r="AB396" s="41" t="s">
        <v>296</v>
      </c>
    </row>
    <row r="398" spans="1:28" x14ac:dyDescent="0.2">
      <c r="A398" s="91">
        <v>55</v>
      </c>
      <c r="B398" s="91" t="s">
        <v>139</v>
      </c>
      <c r="C398" s="92">
        <v>36766</v>
      </c>
      <c r="D398" s="41" t="s">
        <v>136</v>
      </c>
      <c r="E398" s="41" t="s">
        <v>14</v>
      </c>
      <c r="F398" s="41" t="s">
        <v>15</v>
      </c>
      <c r="G398" s="41" t="s">
        <v>16</v>
      </c>
      <c r="H398" s="93">
        <v>0</v>
      </c>
      <c r="I398" s="94">
        <f t="shared" ref="I398:I403" si="120">+H398*K398</f>
        <v>0</v>
      </c>
      <c r="J398" s="95">
        <v>36770</v>
      </c>
      <c r="K398" s="96">
        <v>23500</v>
      </c>
      <c r="L398" s="97" t="s">
        <v>25</v>
      </c>
      <c r="M398" s="93">
        <v>4.6399999999999997</v>
      </c>
      <c r="N398" s="99">
        <f t="shared" ref="N398:N403" si="121">K398*M398</f>
        <v>109039.99999999999</v>
      </c>
      <c r="O398" s="62">
        <f t="shared" ref="O398:O403" si="122">0.01*K398</f>
        <v>235</v>
      </c>
      <c r="Q398" s="100">
        <v>4.45</v>
      </c>
      <c r="T398" s="62">
        <f>(M398-Q398)*K398</f>
        <v>4464.9999999999882</v>
      </c>
      <c r="Y398" s="41" t="s">
        <v>206</v>
      </c>
      <c r="AA398" s="91" t="s">
        <v>202</v>
      </c>
      <c r="AB398" s="41" t="s">
        <v>296</v>
      </c>
    </row>
    <row r="399" spans="1:28" x14ac:dyDescent="0.2">
      <c r="A399" s="91">
        <v>55</v>
      </c>
      <c r="B399" s="91" t="s">
        <v>139</v>
      </c>
      <c r="C399" s="92">
        <v>36766</v>
      </c>
      <c r="D399" s="41" t="s">
        <v>136</v>
      </c>
      <c r="E399" s="41" t="s">
        <v>14</v>
      </c>
      <c r="F399" s="41" t="s">
        <v>15</v>
      </c>
      <c r="G399" s="41" t="s">
        <v>16</v>
      </c>
      <c r="H399" s="93">
        <v>0</v>
      </c>
      <c r="I399" s="94">
        <f t="shared" si="120"/>
        <v>0</v>
      </c>
      <c r="J399" s="95">
        <v>36800</v>
      </c>
      <c r="K399" s="96">
        <v>23500</v>
      </c>
      <c r="L399" s="97" t="s">
        <v>25</v>
      </c>
      <c r="M399" s="93">
        <v>4.6399999999999997</v>
      </c>
      <c r="N399" s="99">
        <f t="shared" si="121"/>
        <v>109039.99999999999</v>
      </c>
      <c r="O399" s="62">
        <f t="shared" si="122"/>
        <v>235</v>
      </c>
      <c r="Q399" s="100">
        <v>5.1050000000000004</v>
      </c>
      <c r="T399" s="62">
        <f>(M399-Q399)*K399</f>
        <v>-10927.500000000018</v>
      </c>
      <c r="AA399" s="91" t="s">
        <v>202</v>
      </c>
      <c r="AB399" s="41" t="s">
        <v>296</v>
      </c>
    </row>
    <row r="400" spans="1:28" x14ac:dyDescent="0.2">
      <c r="A400" s="91">
        <v>55</v>
      </c>
      <c r="B400" s="91" t="s">
        <v>139</v>
      </c>
      <c r="C400" s="92">
        <v>36766</v>
      </c>
      <c r="D400" s="41" t="s">
        <v>136</v>
      </c>
      <c r="E400" s="41" t="s">
        <v>14</v>
      </c>
      <c r="F400" s="41" t="s">
        <v>15</v>
      </c>
      <c r="G400" s="41" t="s">
        <v>16</v>
      </c>
      <c r="H400" s="93">
        <v>0</v>
      </c>
      <c r="I400" s="94">
        <f t="shared" si="120"/>
        <v>0</v>
      </c>
      <c r="J400" s="95">
        <v>36831</v>
      </c>
      <c r="K400" s="96">
        <v>23500</v>
      </c>
      <c r="L400" s="97" t="s">
        <v>25</v>
      </c>
      <c r="M400" s="93">
        <v>4.6399999999999997</v>
      </c>
      <c r="N400" s="99">
        <f t="shared" si="121"/>
        <v>109039.99999999999</v>
      </c>
      <c r="O400" s="62">
        <f t="shared" si="122"/>
        <v>235</v>
      </c>
      <c r="Q400" s="100">
        <v>4.3099999999999996</v>
      </c>
      <c r="T400" s="62">
        <f>(M400-Q400)*K400</f>
        <v>7755.0000000000018</v>
      </c>
      <c r="AA400" s="91" t="s">
        <v>202</v>
      </c>
      <c r="AB400" s="41" t="s">
        <v>296</v>
      </c>
    </row>
    <row r="401" spans="1:28" x14ac:dyDescent="0.2">
      <c r="A401" s="91">
        <v>55</v>
      </c>
      <c r="B401" s="91" t="s">
        <v>139</v>
      </c>
      <c r="C401" s="92">
        <v>36766</v>
      </c>
      <c r="D401" s="41" t="s">
        <v>136</v>
      </c>
      <c r="E401" s="41" t="s">
        <v>14</v>
      </c>
      <c r="F401" s="41" t="s">
        <v>15</v>
      </c>
      <c r="G401" s="41" t="s">
        <v>16</v>
      </c>
      <c r="H401" s="93">
        <v>0</v>
      </c>
      <c r="I401" s="94">
        <f t="shared" si="120"/>
        <v>0</v>
      </c>
      <c r="J401" s="95">
        <v>36861</v>
      </c>
      <c r="K401" s="96">
        <v>23500</v>
      </c>
      <c r="L401" s="97" t="s">
        <v>25</v>
      </c>
      <c r="M401" s="93">
        <v>4.6399999999999997</v>
      </c>
      <c r="N401" s="99">
        <f t="shared" si="121"/>
        <v>109039.99999999999</v>
      </c>
      <c r="O401" s="62">
        <f t="shared" si="122"/>
        <v>235</v>
      </c>
      <c r="Q401" s="100">
        <v>5.7750000000000004</v>
      </c>
      <c r="T401" s="62">
        <f>(M401-Q401)*K401</f>
        <v>-26672.500000000015</v>
      </c>
      <c r="AA401" s="91" t="s">
        <v>202</v>
      </c>
      <c r="AB401" s="41" t="s">
        <v>296</v>
      </c>
    </row>
    <row r="402" spans="1:28" x14ac:dyDescent="0.2">
      <c r="A402" s="91">
        <v>55</v>
      </c>
      <c r="B402" s="91" t="s">
        <v>139</v>
      </c>
      <c r="C402" s="92">
        <v>36766</v>
      </c>
      <c r="D402" s="41" t="s">
        <v>136</v>
      </c>
      <c r="E402" s="41" t="s">
        <v>14</v>
      </c>
      <c r="F402" s="41" t="s">
        <v>15</v>
      </c>
      <c r="G402" s="41" t="s">
        <v>16</v>
      </c>
      <c r="H402" s="93">
        <v>0</v>
      </c>
      <c r="I402" s="94">
        <f t="shared" si="120"/>
        <v>0</v>
      </c>
      <c r="J402" s="95">
        <v>36892</v>
      </c>
      <c r="K402" s="96">
        <v>23500</v>
      </c>
      <c r="L402" s="97" t="s">
        <v>25</v>
      </c>
      <c r="M402" s="93">
        <v>4.6399999999999997</v>
      </c>
      <c r="N402" s="99">
        <f t="shared" si="121"/>
        <v>109039.99999999999</v>
      </c>
      <c r="O402" s="62">
        <f t="shared" si="122"/>
        <v>235</v>
      </c>
      <c r="Q402" s="100">
        <v>9.5649999999999995</v>
      </c>
      <c r="T402" s="62">
        <f>(M402-Q402)*K402</f>
        <v>-115737.5</v>
      </c>
      <c r="AA402" s="91" t="s">
        <v>202</v>
      </c>
      <c r="AB402" s="41" t="s">
        <v>296</v>
      </c>
    </row>
    <row r="403" spans="1:28" x14ac:dyDescent="0.2">
      <c r="A403" s="91">
        <v>55</v>
      </c>
      <c r="B403" s="91" t="s">
        <v>139</v>
      </c>
      <c r="C403" s="92">
        <v>36766</v>
      </c>
      <c r="D403" s="41" t="s">
        <v>136</v>
      </c>
      <c r="E403" s="41" t="s">
        <v>14</v>
      </c>
      <c r="F403" s="41" t="s">
        <v>15</v>
      </c>
      <c r="G403" s="41" t="s">
        <v>16</v>
      </c>
      <c r="H403" s="93">
        <v>0</v>
      </c>
      <c r="I403" s="94">
        <f t="shared" si="120"/>
        <v>0</v>
      </c>
      <c r="J403" s="95">
        <v>36923</v>
      </c>
      <c r="K403" s="96">
        <v>23500</v>
      </c>
      <c r="L403" s="97" t="s">
        <v>25</v>
      </c>
      <c r="M403" s="93">
        <v>4.6399999999999997</v>
      </c>
      <c r="N403" s="99">
        <f t="shared" si="121"/>
        <v>109039.99999999999</v>
      </c>
      <c r="O403" s="62">
        <f t="shared" si="122"/>
        <v>235</v>
      </c>
      <c r="AA403" s="91" t="s">
        <v>202</v>
      </c>
      <c r="AB403" s="41" t="s">
        <v>296</v>
      </c>
    </row>
    <row r="404" spans="1:28" x14ac:dyDescent="0.2">
      <c r="AB404" s="41" t="s">
        <v>296</v>
      </c>
    </row>
    <row r="405" spans="1:28" s="54" customFormat="1" x14ac:dyDescent="0.2">
      <c r="A405" s="52">
        <v>56</v>
      </c>
      <c r="B405" s="52" t="s">
        <v>176</v>
      </c>
      <c r="C405" s="53">
        <v>36767</v>
      </c>
      <c r="D405" s="54" t="s">
        <v>140</v>
      </c>
      <c r="E405" s="54" t="s">
        <v>14</v>
      </c>
      <c r="F405" s="54" t="s">
        <v>21</v>
      </c>
      <c r="G405" s="54" t="s">
        <v>33</v>
      </c>
      <c r="H405" s="55">
        <v>0</v>
      </c>
      <c r="I405" s="56">
        <f t="shared" ref="I405:I410" si="123">+H405*K405</f>
        <v>0</v>
      </c>
      <c r="J405" s="66">
        <v>36770</v>
      </c>
      <c r="K405" s="50">
        <v>5000</v>
      </c>
      <c r="L405" s="57" t="s">
        <v>25</v>
      </c>
      <c r="M405" s="55" t="s">
        <v>141</v>
      </c>
      <c r="N405" s="58"/>
      <c r="O405" s="51">
        <f t="shared" ref="O405:O410" si="124">0.005*K405</f>
        <v>25</v>
      </c>
      <c r="Q405" s="59">
        <v>4.6399999999999997</v>
      </c>
      <c r="R405" s="60"/>
      <c r="T405" s="51">
        <v>0</v>
      </c>
      <c r="U405" s="61"/>
      <c r="V405" s="61"/>
      <c r="Y405" s="54" t="s">
        <v>209</v>
      </c>
      <c r="AA405" s="52" t="s">
        <v>201</v>
      </c>
      <c r="AB405" s="41" t="s">
        <v>296</v>
      </c>
    </row>
    <row r="406" spans="1:28" s="54" customFormat="1" x14ac:dyDescent="0.2">
      <c r="A406" s="52">
        <v>56</v>
      </c>
      <c r="B406" s="52" t="s">
        <v>176</v>
      </c>
      <c r="C406" s="53">
        <v>36767</v>
      </c>
      <c r="D406" s="54" t="s">
        <v>140</v>
      </c>
      <c r="E406" s="54" t="s">
        <v>14</v>
      </c>
      <c r="F406" s="54" t="s">
        <v>21</v>
      </c>
      <c r="G406" s="54" t="s">
        <v>33</v>
      </c>
      <c r="H406" s="55">
        <v>0</v>
      </c>
      <c r="I406" s="56">
        <f t="shared" si="123"/>
        <v>0</v>
      </c>
      <c r="J406" s="66">
        <v>36800</v>
      </c>
      <c r="K406" s="50">
        <v>5000</v>
      </c>
      <c r="L406" s="57" t="s">
        <v>25</v>
      </c>
      <c r="M406" s="55" t="s">
        <v>141</v>
      </c>
      <c r="N406" s="58"/>
      <c r="O406" s="51">
        <f t="shared" si="124"/>
        <v>25</v>
      </c>
      <c r="Q406" s="59">
        <v>5.3</v>
      </c>
      <c r="R406" s="60"/>
      <c r="T406" s="51">
        <v>0</v>
      </c>
      <c r="U406" s="61"/>
      <c r="V406" s="61"/>
      <c r="AA406" s="52" t="s">
        <v>201</v>
      </c>
      <c r="AB406" s="41" t="s">
        <v>296</v>
      </c>
    </row>
    <row r="407" spans="1:28" s="54" customFormat="1" x14ac:dyDescent="0.2">
      <c r="A407" s="52">
        <v>56</v>
      </c>
      <c r="B407" s="52" t="s">
        <v>176</v>
      </c>
      <c r="C407" s="53">
        <v>36767</v>
      </c>
      <c r="D407" s="54" t="s">
        <v>140</v>
      </c>
      <c r="E407" s="54" t="s">
        <v>14</v>
      </c>
      <c r="F407" s="54" t="s">
        <v>21</v>
      </c>
      <c r="G407" s="54" t="s">
        <v>33</v>
      </c>
      <c r="H407" s="55">
        <v>0</v>
      </c>
      <c r="I407" s="56">
        <f t="shared" si="123"/>
        <v>0</v>
      </c>
      <c r="J407" s="66">
        <v>36831</v>
      </c>
      <c r="K407" s="50">
        <v>5000</v>
      </c>
      <c r="L407" s="57" t="s">
        <v>25</v>
      </c>
      <c r="M407" s="55" t="s">
        <v>141</v>
      </c>
      <c r="N407" s="58"/>
      <c r="O407" s="51">
        <f t="shared" si="124"/>
        <v>25</v>
      </c>
      <c r="Q407" s="59">
        <v>4.46</v>
      </c>
      <c r="R407" s="60"/>
      <c r="T407" s="51">
        <v>0</v>
      </c>
      <c r="U407" s="61"/>
      <c r="V407" s="61"/>
      <c r="AA407" s="52" t="s">
        <v>201</v>
      </c>
      <c r="AB407" s="41" t="s">
        <v>296</v>
      </c>
    </row>
    <row r="408" spans="1:28" s="54" customFormat="1" x14ac:dyDescent="0.2">
      <c r="A408" s="52">
        <v>56</v>
      </c>
      <c r="B408" s="52" t="s">
        <v>176</v>
      </c>
      <c r="C408" s="53">
        <v>36767</v>
      </c>
      <c r="D408" s="54" t="s">
        <v>140</v>
      </c>
      <c r="E408" s="54" t="s">
        <v>14</v>
      </c>
      <c r="F408" s="54" t="s">
        <v>21</v>
      </c>
      <c r="G408" s="54" t="s">
        <v>33</v>
      </c>
      <c r="H408" s="55">
        <v>0</v>
      </c>
      <c r="I408" s="56">
        <f t="shared" si="123"/>
        <v>0</v>
      </c>
      <c r="J408" s="66">
        <v>36861</v>
      </c>
      <c r="K408" s="50">
        <v>5000</v>
      </c>
      <c r="L408" s="57" t="s">
        <v>25</v>
      </c>
      <c r="M408" s="55" t="s">
        <v>141</v>
      </c>
      <c r="N408" s="58"/>
      <c r="O408" s="51">
        <f t="shared" si="124"/>
        <v>25</v>
      </c>
      <c r="Q408" s="59">
        <v>5.7750000000000004</v>
      </c>
      <c r="R408" s="60"/>
      <c r="T408" s="51">
        <v>0</v>
      </c>
      <c r="U408" s="61"/>
      <c r="V408" s="61"/>
      <c r="AA408" s="52" t="s">
        <v>201</v>
      </c>
      <c r="AB408" s="41" t="s">
        <v>296</v>
      </c>
    </row>
    <row r="409" spans="1:28" s="54" customFormat="1" x14ac:dyDescent="0.2">
      <c r="A409" s="52">
        <v>56</v>
      </c>
      <c r="B409" s="52" t="s">
        <v>176</v>
      </c>
      <c r="C409" s="53">
        <v>36767</v>
      </c>
      <c r="D409" s="54" t="s">
        <v>140</v>
      </c>
      <c r="E409" s="54" t="s">
        <v>14</v>
      </c>
      <c r="F409" s="54" t="s">
        <v>21</v>
      </c>
      <c r="G409" s="54" t="s">
        <v>33</v>
      </c>
      <c r="H409" s="55">
        <v>0</v>
      </c>
      <c r="I409" s="56">
        <f t="shared" si="123"/>
        <v>0</v>
      </c>
      <c r="J409" s="66">
        <v>36892</v>
      </c>
      <c r="K409" s="50">
        <v>5000</v>
      </c>
      <c r="L409" s="57" t="s">
        <v>25</v>
      </c>
      <c r="M409" s="55" t="s">
        <v>141</v>
      </c>
      <c r="N409" s="58"/>
      <c r="O409" s="51">
        <f t="shared" si="124"/>
        <v>25</v>
      </c>
      <c r="Q409" s="100">
        <v>9.84</v>
      </c>
      <c r="R409" s="60"/>
      <c r="T409" s="62">
        <f>(9.3-Q409)*K409</f>
        <v>-2699.9999999999959</v>
      </c>
      <c r="U409" s="61"/>
      <c r="V409" s="61"/>
      <c r="AA409" s="52" t="s">
        <v>201</v>
      </c>
      <c r="AB409" s="41" t="s">
        <v>296</v>
      </c>
    </row>
    <row r="410" spans="1:28" s="54" customFormat="1" x14ac:dyDescent="0.2">
      <c r="A410" s="52">
        <v>56</v>
      </c>
      <c r="B410" s="52" t="s">
        <v>176</v>
      </c>
      <c r="C410" s="53">
        <v>36767</v>
      </c>
      <c r="D410" s="54" t="s">
        <v>140</v>
      </c>
      <c r="E410" s="54" t="s">
        <v>14</v>
      </c>
      <c r="F410" s="54" t="s">
        <v>21</v>
      </c>
      <c r="G410" s="54" t="s">
        <v>33</v>
      </c>
      <c r="H410" s="55">
        <v>0</v>
      </c>
      <c r="I410" s="56">
        <f t="shared" si="123"/>
        <v>0</v>
      </c>
      <c r="J410" s="66">
        <v>36923</v>
      </c>
      <c r="K410" s="50">
        <v>5000</v>
      </c>
      <c r="L410" s="57" t="s">
        <v>25</v>
      </c>
      <c r="M410" s="55" t="s">
        <v>141</v>
      </c>
      <c r="N410" s="58"/>
      <c r="O410" s="51">
        <f t="shared" si="124"/>
        <v>25</v>
      </c>
      <c r="Q410" s="59"/>
      <c r="R410" s="60"/>
      <c r="T410" s="51"/>
      <c r="U410" s="61"/>
      <c r="V410" s="61"/>
      <c r="AA410" s="52" t="s">
        <v>201</v>
      </c>
      <c r="AB410" s="41" t="s">
        <v>296</v>
      </c>
    </row>
    <row r="411" spans="1:28" s="54" customFormat="1" x14ac:dyDescent="0.2">
      <c r="A411" s="52"/>
      <c r="B411" s="52"/>
      <c r="C411" s="53"/>
      <c r="H411" s="55"/>
      <c r="I411" s="56"/>
      <c r="J411" s="67"/>
      <c r="K411" s="50"/>
      <c r="L411" s="57"/>
      <c r="M411" s="55"/>
      <c r="N411" s="58"/>
      <c r="O411" s="51"/>
      <c r="Q411" s="59"/>
      <c r="R411" s="60"/>
      <c r="T411" s="51"/>
      <c r="U411" s="61"/>
      <c r="V411" s="61"/>
      <c r="AA411" s="52"/>
      <c r="AB411" s="41"/>
    </row>
    <row r="412" spans="1:28" s="54" customFormat="1" x14ac:dyDescent="0.2">
      <c r="A412" s="52">
        <v>57</v>
      </c>
      <c r="B412" s="52" t="s">
        <v>177</v>
      </c>
      <c r="C412" s="53">
        <v>36767</v>
      </c>
      <c r="D412" s="54" t="s">
        <v>142</v>
      </c>
      <c r="E412" s="54" t="s">
        <v>14</v>
      </c>
      <c r="F412" s="54" t="s">
        <v>21</v>
      </c>
      <c r="G412" s="54" t="s">
        <v>33</v>
      </c>
      <c r="H412" s="55">
        <v>0</v>
      </c>
      <c r="I412" s="56">
        <f t="shared" ref="I412:I417" si="125">+H412*K412</f>
        <v>0</v>
      </c>
      <c r="J412" s="66">
        <v>36770</v>
      </c>
      <c r="K412" s="50">
        <v>5000</v>
      </c>
      <c r="L412" s="57" t="s">
        <v>25</v>
      </c>
      <c r="M412" s="55" t="s">
        <v>141</v>
      </c>
      <c r="N412" s="58"/>
      <c r="O412" s="51">
        <f t="shared" ref="O412:O417" si="126">0.005*K412</f>
        <v>25</v>
      </c>
      <c r="Q412" s="59">
        <v>4.6399999999999997</v>
      </c>
      <c r="R412" s="60"/>
      <c r="T412" s="51">
        <v>0</v>
      </c>
      <c r="U412" s="61"/>
      <c r="V412" s="61"/>
      <c r="Y412" s="54" t="s">
        <v>209</v>
      </c>
      <c r="AA412" s="52" t="s">
        <v>201</v>
      </c>
      <c r="AB412" s="41" t="s">
        <v>296</v>
      </c>
    </row>
    <row r="413" spans="1:28" s="54" customFormat="1" x14ac:dyDescent="0.2">
      <c r="A413" s="52">
        <v>57</v>
      </c>
      <c r="B413" s="52" t="s">
        <v>177</v>
      </c>
      <c r="C413" s="53">
        <v>36767</v>
      </c>
      <c r="D413" s="54" t="s">
        <v>142</v>
      </c>
      <c r="E413" s="54" t="s">
        <v>14</v>
      </c>
      <c r="F413" s="54" t="s">
        <v>21</v>
      </c>
      <c r="G413" s="54" t="s">
        <v>33</v>
      </c>
      <c r="H413" s="55">
        <v>0</v>
      </c>
      <c r="I413" s="56">
        <f t="shared" si="125"/>
        <v>0</v>
      </c>
      <c r="J413" s="66">
        <v>36800</v>
      </c>
      <c r="K413" s="50">
        <v>5000</v>
      </c>
      <c r="L413" s="57" t="s">
        <v>25</v>
      </c>
      <c r="M413" s="55" t="s">
        <v>141</v>
      </c>
      <c r="N413" s="58"/>
      <c r="O413" s="51">
        <f t="shared" si="126"/>
        <v>25</v>
      </c>
      <c r="Q413" s="59">
        <v>5.3</v>
      </c>
      <c r="R413" s="60"/>
      <c r="T413" s="51">
        <v>0</v>
      </c>
      <c r="U413" s="61"/>
      <c r="V413" s="61"/>
      <c r="AA413" s="52" t="s">
        <v>201</v>
      </c>
      <c r="AB413" s="41" t="s">
        <v>296</v>
      </c>
    </row>
    <row r="414" spans="1:28" s="54" customFormat="1" x14ac:dyDescent="0.2">
      <c r="A414" s="52">
        <v>57</v>
      </c>
      <c r="B414" s="52" t="s">
        <v>177</v>
      </c>
      <c r="C414" s="53">
        <v>36767</v>
      </c>
      <c r="D414" s="54" t="s">
        <v>142</v>
      </c>
      <c r="E414" s="54" t="s">
        <v>14</v>
      </c>
      <c r="F414" s="54" t="s">
        <v>21</v>
      </c>
      <c r="G414" s="54" t="s">
        <v>33</v>
      </c>
      <c r="H414" s="55">
        <v>0</v>
      </c>
      <c r="I414" s="56">
        <f t="shared" si="125"/>
        <v>0</v>
      </c>
      <c r="J414" s="66">
        <v>36831</v>
      </c>
      <c r="K414" s="50">
        <v>5000</v>
      </c>
      <c r="L414" s="57" t="s">
        <v>25</v>
      </c>
      <c r="M414" s="55" t="s">
        <v>141</v>
      </c>
      <c r="N414" s="58"/>
      <c r="O414" s="51">
        <f t="shared" si="126"/>
        <v>25</v>
      </c>
      <c r="Q414" s="59">
        <v>4.46</v>
      </c>
      <c r="R414" s="60"/>
      <c r="T414" s="51">
        <v>0</v>
      </c>
      <c r="U414" s="61"/>
      <c r="V414" s="61"/>
      <c r="AA414" s="52" t="s">
        <v>201</v>
      </c>
      <c r="AB414" s="41" t="s">
        <v>296</v>
      </c>
    </row>
    <row r="415" spans="1:28" s="54" customFormat="1" x14ac:dyDescent="0.2">
      <c r="A415" s="52">
        <v>57</v>
      </c>
      <c r="B415" s="52" t="s">
        <v>177</v>
      </c>
      <c r="C415" s="53">
        <v>36767</v>
      </c>
      <c r="D415" s="54" t="s">
        <v>142</v>
      </c>
      <c r="E415" s="54" t="s">
        <v>14</v>
      </c>
      <c r="F415" s="54" t="s">
        <v>21</v>
      </c>
      <c r="G415" s="54" t="s">
        <v>33</v>
      </c>
      <c r="H415" s="55">
        <v>0</v>
      </c>
      <c r="I415" s="56">
        <f t="shared" si="125"/>
        <v>0</v>
      </c>
      <c r="J415" s="66">
        <v>36861</v>
      </c>
      <c r="K415" s="50">
        <v>5000</v>
      </c>
      <c r="L415" s="57" t="s">
        <v>25</v>
      </c>
      <c r="M415" s="55" t="s">
        <v>141</v>
      </c>
      <c r="N415" s="58"/>
      <c r="O415" s="51">
        <f t="shared" si="126"/>
        <v>25</v>
      </c>
      <c r="Q415" s="59">
        <v>5.7750000000000004</v>
      </c>
      <c r="R415" s="60"/>
      <c r="T415" s="51">
        <v>0</v>
      </c>
      <c r="U415" s="61"/>
      <c r="V415" s="61"/>
      <c r="AA415" s="52" t="s">
        <v>201</v>
      </c>
      <c r="AB415" s="41" t="s">
        <v>296</v>
      </c>
    </row>
    <row r="416" spans="1:28" s="54" customFormat="1" x14ac:dyDescent="0.2">
      <c r="A416" s="52">
        <v>57</v>
      </c>
      <c r="B416" s="52" t="s">
        <v>177</v>
      </c>
      <c r="C416" s="53">
        <v>36767</v>
      </c>
      <c r="D416" s="54" t="s">
        <v>142</v>
      </c>
      <c r="E416" s="54" t="s">
        <v>14</v>
      </c>
      <c r="F416" s="54" t="s">
        <v>21</v>
      </c>
      <c r="G416" s="54" t="s">
        <v>33</v>
      </c>
      <c r="H416" s="55">
        <v>0</v>
      </c>
      <c r="I416" s="56">
        <f t="shared" si="125"/>
        <v>0</v>
      </c>
      <c r="J416" s="66">
        <v>36892</v>
      </c>
      <c r="K416" s="50">
        <v>5000</v>
      </c>
      <c r="L416" s="57" t="s">
        <v>25</v>
      </c>
      <c r="M416" s="55" t="s">
        <v>141</v>
      </c>
      <c r="N416" s="58"/>
      <c r="O416" s="51">
        <f t="shared" si="126"/>
        <v>25</v>
      </c>
      <c r="Q416" s="100">
        <v>9.84</v>
      </c>
      <c r="R416" s="60"/>
      <c r="T416" s="62">
        <f>(9.3-Q416)*K416</f>
        <v>-2699.9999999999959</v>
      </c>
      <c r="U416" s="61"/>
      <c r="V416" s="61"/>
      <c r="AA416" s="52" t="s">
        <v>201</v>
      </c>
      <c r="AB416" s="41" t="s">
        <v>296</v>
      </c>
    </row>
    <row r="417" spans="1:28" s="54" customFormat="1" x14ac:dyDescent="0.2">
      <c r="A417" s="52">
        <v>57</v>
      </c>
      <c r="B417" s="52" t="s">
        <v>177</v>
      </c>
      <c r="C417" s="53">
        <v>36767</v>
      </c>
      <c r="D417" s="54" t="s">
        <v>142</v>
      </c>
      <c r="E417" s="54" t="s">
        <v>14</v>
      </c>
      <c r="F417" s="54" t="s">
        <v>21</v>
      </c>
      <c r="G417" s="54" t="s">
        <v>33</v>
      </c>
      <c r="H417" s="55">
        <v>0</v>
      </c>
      <c r="I417" s="56">
        <f t="shared" si="125"/>
        <v>0</v>
      </c>
      <c r="J417" s="66">
        <v>36923</v>
      </c>
      <c r="K417" s="50">
        <v>5000</v>
      </c>
      <c r="L417" s="57" t="s">
        <v>25</v>
      </c>
      <c r="M417" s="55" t="s">
        <v>141</v>
      </c>
      <c r="N417" s="58"/>
      <c r="O417" s="51">
        <f t="shared" si="126"/>
        <v>25</v>
      </c>
      <c r="Q417" s="59"/>
      <c r="R417" s="60"/>
      <c r="T417" s="51"/>
      <c r="U417" s="61"/>
      <c r="V417" s="61"/>
      <c r="AA417" s="52" t="s">
        <v>201</v>
      </c>
      <c r="AB417" s="41" t="s">
        <v>296</v>
      </c>
    </row>
    <row r="418" spans="1:28" s="54" customFormat="1" x14ac:dyDescent="0.2">
      <c r="A418" s="52"/>
      <c r="B418" s="52"/>
      <c r="C418" s="53"/>
      <c r="H418" s="55"/>
      <c r="I418" s="56"/>
      <c r="J418" s="67"/>
      <c r="K418" s="50"/>
      <c r="L418" s="57"/>
      <c r="M418" s="55"/>
      <c r="N418" s="58"/>
      <c r="O418" s="51"/>
      <c r="Q418" s="59"/>
      <c r="R418" s="60"/>
      <c r="T418" s="51"/>
      <c r="U418" s="61"/>
      <c r="V418" s="61"/>
      <c r="AA418" s="52"/>
      <c r="AB418" s="41"/>
    </row>
    <row r="419" spans="1:28" s="54" customFormat="1" x14ac:dyDescent="0.2">
      <c r="A419" s="52">
        <v>58</v>
      </c>
      <c r="B419" s="52" t="s">
        <v>173</v>
      </c>
      <c r="C419" s="53">
        <v>36767</v>
      </c>
      <c r="D419" s="54" t="s">
        <v>143</v>
      </c>
      <c r="E419" s="54" t="s">
        <v>14</v>
      </c>
      <c r="F419" s="54" t="s">
        <v>15</v>
      </c>
      <c r="G419" s="54" t="s">
        <v>33</v>
      </c>
      <c r="H419" s="55">
        <v>0</v>
      </c>
      <c r="I419" s="56">
        <f t="shared" ref="I419:I424" si="127">+H419*K419</f>
        <v>0</v>
      </c>
      <c r="J419" s="66">
        <v>36770</v>
      </c>
      <c r="K419" s="50">
        <v>700</v>
      </c>
      <c r="L419" s="57" t="s">
        <v>25</v>
      </c>
      <c r="M419" s="55" t="s">
        <v>144</v>
      </c>
      <c r="N419" s="58"/>
      <c r="O419" s="51">
        <f t="shared" ref="O419:O424" si="128">0.01*K419</f>
        <v>7</v>
      </c>
      <c r="Q419" s="59">
        <v>4.45</v>
      </c>
      <c r="R419" s="60"/>
      <c r="T419" s="51">
        <v>0</v>
      </c>
      <c r="U419" s="61"/>
      <c r="V419" s="61"/>
      <c r="Y419" s="54" t="s">
        <v>208</v>
      </c>
      <c r="AA419" s="52"/>
      <c r="AB419" s="41" t="s">
        <v>296</v>
      </c>
    </row>
    <row r="420" spans="1:28" s="54" customFormat="1" x14ac:dyDescent="0.2">
      <c r="A420" s="52">
        <v>58</v>
      </c>
      <c r="B420" s="52" t="s">
        <v>173</v>
      </c>
      <c r="C420" s="53">
        <v>36767</v>
      </c>
      <c r="D420" s="54" t="s">
        <v>143</v>
      </c>
      <c r="E420" s="54" t="s">
        <v>14</v>
      </c>
      <c r="F420" s="54" t="s">
        <v>15</v>
      </c>
      <c r="G420" s="54" t="s">
        <v>33</v>
      </c>
      <c r="H420" s="55">
        <v>0</v>
      </c>
      <c r="I420" s="56">
        <f t="shared" si="127"/>
        <v>0</v>
      </c>
      <c r="J420" s="66">
        <v>36800</v>
      </c>
      <c r="K420" s="50">
        <v>700</v>
      </c>
      <c r="L420" s="57" t="s">
        <v>25</v>
      </c>
      <c r="M420" s="55" t="s">
        <v>144</v>
      </c>
      <c r="N420" s="58"/>
      <c r="O420" s="51">
        <f t="shared" si="128"/>
        <v>7</v>
      </c>
      <c r="Q420" s="59">
        <v>5.1050000000000004</v>
      </c>
      <c r="R420" s="60"/>
      <c r="T420" s="51">
        <v>0</v>
      </c>
      <c r="U420" s="61"/>
      <c r="V420" s="61"/>
      <c r="AA420" s="52"/>
      <c r="AB420" s="41" t="s">
        <v>296</v>
      </c>
    </row>
    <row r="421" spans="1:28" s="54" customFormat="1" x14ac:dyDescent="0.2">
      <c r="A421" s="52">
        <v>58</v>
      </c>
      <c r="B421" s="52" t="s">
        <v>173</v>
      </c>
      <c r="C421" s="53">
        <v>36767</v>
      </c>
      <c r="D421" s="54" t="s">
        <v>143</v>
      </c>
      <c r="E421" s="54" t="s">
        <v>14</v>
      </c>
      <c r="F421" s="54" t="s">
        <v>15</v>
      </c>
      <c r="G421" s="54" t="s">
        <v>33</v>
      </c>
      <c r="H421" s="55">
        <v>0</v>
      </c>
      <c r="I421" s="56">
        <f t="shared" si="127"/>
        <v>0</v>
      </c>
      <c r="J421" s="66">
        <v>36831</v>
      </c>
      <c r="K421" s="50">
        <v>700</v>
      </c>
      <c r="L421" s="57" t="s">
        <v>25</v>
      </c>
      <c r="M421" s="55" t="s">
        <v>144</v>
      </c>
      <c r="N421" s="58"/>
      <c r="O421" s="51">
        <f t="shared" si="128"/>
        <v>7</v>
      </c>
      <c r="Q421" s="59">
        <v>4.3099999999999996</v>
      </c>
      <c r="R421" s="60"/>
      <c r="T421" s="51">
        <v>0</v>
      </c>
      <c r="U421" s="61"/>
      <c r="V421" s="61"/>
      <c r="AA421" s="52"/>
      <c r="AB421" s="41" t="s">
        <v>296</v>
      </c>
    </row>
    <row r="422" spans="1:28" s="54" customFormat="1" x14ac:dyDescent="0.2">
      <c r="A422" s="52">
        <v>58</v>
      </c>
      <c r="B422" s="52" t="s">
        <v>173</v>
      </c>
      <c r="C422" s="53">
        <v>36767</v>
      </c>
      <c r="D422" s="54" t="s">
        <v>143</v>
      </c>
      <c r="E422" s="54" t="s">
        <v>14</v>
      </c>
      <c r="F422" s="54" t="s">
        <v>15</v>
      </c>
      <c r="G422" s="54" t="s">
        <v>33</v>
      </c>
      <c r="H422" s="55">
        <v>0</v>
      </c>
      <c r="I422" s="56">
        <f t="shared" si="127"/>
        <v>0</v>
      </c>
      <c r="J422" s="66">
        <v>36861</v>
      </c>
      <c r="K422" s="50">
        <v>700</v>
      </c>
      <c r="L422" s="57" t="s">
        <v>25</v>
      </c>
      <c r="M422" s="55" t="s">
        <v>144</v>
      </c>
      <c r="N422" s="58"/>
      <c r="O422" s="51">
        <f t="shared" si="128"/>
        <v>7</v>
      </c>
      <c r="Q422" s="59">
        <v>5.7750000000000004</v>
      </c>
      <c r="R422" s="60"/>
      <c r="T422" s="51">
        <v>0</v>
      </c>
      <c r="U422" s="61"/>
      <c r="V422" s="61"/>
      <c r="AA422" s="52"/>
      <c r="AB422" s="41" t="s">
        <v>296</v>
      </c>
    </row>
    <row r="423" spans="1:28" s="54" customFormat="1" x14ac:dyDescent="0.2">
      <c r="A423" s="52">
        <v>58</v>
      </c>
      <c r="B423" s="52" t="s">
        <v>173</v>
      </c>
      <c r="C423" s="53">
        <v>36767</v>
      </c>
      <c r="D423" s="54" t="s">
        <v>143</v>
      </c>
      <c r="E423" s="54" t="s">
        <v>14</v>
      </c>
      <c r="F423" s="54" t="s">
        <v>15</v>
      </c>
      <c r="G423" s="54" t="s">
        <v>33</v>
      </c>
      <c r="H423" s="55">
        <v>0</v>
      </c>
      <c r="I423" s="56">
        <f t="shared" si="127"/>
        <v>0</v>
      </c>
      <c r="J423" s="66">
        <v>36892</v>
      </c>
      <c r="K423" s="50">
        <v>700</v>
      </c>
      <c r="L423" s="57" t="s">
        <v>25</v>
      </c>
      <c r="M423" s="55" t="s">
        <v>144</v>
      </c>
      <c r="N423" s="58"/>
      <c r="O423" s="51">
        <f t="shared" si="128"/>
        <v>7</v>
      </c>
      <c r="Q423" s="100">
        <v>9.5649999999999995</v>
      </c>
      <c r="R423" s="60"/>
      <c r="T423" s="62">
        <f>(9.1-Q423)*K423</f>
        <v>-325.49999999999989</v>
      </c>
      <c r="U423" s="61"/>
      <c r="V423" s="61"/>
      <c r="AA423" s="52"/>
      <c r="AB423" s="41" t="s">
        <v>296</v>
      </c>
    </row>
    <row r="424" spans="1:28" s="54" customFormat="1" x14ac:dyDescent="0.2">
      <c r="A424" s="52">
        <v>58</v>
      </c>
      <c r="B424" s="52" t="s">
        <v>173</v>
      </c>
      <c r="C424" s="53">
        <v>36767</v>
      </c>
      <c r="D424" s="54" t="s">
        <v>143</v>
      </c>
      <c r="E424" s="54" t="s">
        <v>14</v>
      </c>
      <c r="F424" s="54" t="s">
        <v>15</v>
      </c>
      <c r="G424" s="54" t="s">
        <v>33</v>
      </c>
      <c r="H424" s="55">
        <v>0</v>
      </c>
      <c r="I424" s="56">
        <f t="shared" si="127"/>
        <v>0</v>
      </c>
      <c r="J424" s="66">
        <v>36923</v>
      </c>
      <c r="K424" s="50">
        <v>700</v>
      </c>
      <c r="L424" s="57" t="s">
        <v>25</v>
      </c>
      <c r="M424" s="55" t="s">
        <v>144</v>
      </c>
      <c r="N424" s="58"/>
      <c r="O424" s="51">
        <f t="shared" si="128"/>
        <v>7</v>
      </c>
      <c r="Q424" s="59"/>
      <c r="R424" s="60"/>
      <c r="T424" s="51"/>
      <c r="U424" s="61"/>
      <c r="V424" s="61"/>
      <c r="AA424" s="52"/>
      <c r="AB424" s="41" t="s">
        <v>296</v>
      </c>
    </row>
    <row r="425" spans="1:28" s="54" customFormat="1" x14ac:dyDescent="0.2">
      <c r="A425" s="52"/>
      <c r="B425" s="52"/>
      <c r="C425" s="53"/>
      <c r="H425" s="55"/>
      <c r="I425" s="56"/>
      <c r="J425" s="67"/>
      <c r="K425" s="50"/>
      <c r="L425" s="57"/>
      <c r="M425" s="55"/>
      <c r="N425" s="58"/>
      <c r="O425" s="51"/>
      <c r="Q425" s="59"/>
      <c r="R425" s="60"/>
      <c r="T425" s="51"/>
      <c r="U425" s="61"/>
      <c r="V425" s="61"/>
      <c r="AA425" s="52"/>
      <c r="AB425" s="41"/>
    </row>
    <row r="426" spans="1:28" s="54" customFormat="1" x14ac:dyDescent="0.2">
      <c r="A426" s="52">
        <v>59</v>
      </c>
      <c r="B426" s="52" t="s">
        <v>174</v>
      </c>
      <c r="C426" s="53">
        <v>36767</v>
      </c>
      <c r="D426" s="54" t="s">
        <v>145</v>
      </c>
      <c r="E426" s="54" t="s">
        <v>14</v>
      </c>
      <c r="F426" s="54" t="s">
        <v>15</v>
      </c>
      <c r="G426" s="54" t="s">
        <v>33</v>
      </c>
      <c r="H426" s="55">
        <v>0</v>
      </c>
      <c r="I426" s="56">
        <f t="shared" ref="I426:I431" si="129">+H426*K426</f>
        <v>0</v>
      </c>
      <c r="J426" s="66">
        <v>36770</v>
      </c>
      <c r="K426" s="50">
        <v>1300</v>
      </c>
      <c r="L426" s="57" t="s">
        <v>25</v>
      </c>
      <c r="M426" s="55" t="s">
        <v>144</v>
      </c>
      <c r="N426" s="58"/>
      <c r="O426" s="51">
        <f t="shared" ref="O426:O431" si="130">0.01*K426</f>
        <v>13</v>
      </c>
      <c r="Q426" s="59">
        <v>4.45</v>
      </c>
      <c r="R426" s="60"/>
      <c r="T426" s="51">
        <v>0</v>
      </c>
      <c r="U426" s="61"/>
      <c r="V426" s="61"/>
      <c r="Y426" s="54" t="s">
        <v>208</v>
      </c>
      <c r="AA426" s="52"/>
      <c r="AB426" s="41" t="s">
        <v>296</v>
      </c>
    </row>
    <row r="427" spans="1:28" s="54" customFormat="1" x14ac:dyDescent="0.2">
      <c r="A427" s="52">
        <v>59</v>
      </c>
      <c r="B427" s="52" t="s">
        <v>174</v>
      </c>
      <c r="C427" s="53">
        <v>36767</v>
      </c>
      <c r="D427" s="54" t="s">
        <v>145</v>
      </c>
      <c r="E427" s="54" t="s">
        <v>14</v>
      </c>
      <c r="F427" s="54" t="s">
        <v>15</v>
      </c>
      <c r="G427" s="54" t="s">
        <v>33</v>
      </c>
      <c r="H427" s="55">
        <v>0</v>
      </c>
      <c r="I427" s="56">
        <f t="shared" si="129"/>
        <v>0</v>
      </c>
      <c r="J427" s="66">
        <v>36800</v>
      </c>
      <c r="K427" s="50">
        <v>1300</v>
      </c>
      <c r="L427" s="57" t="s">
        <v>25</v>
      </c>
      <c r="M427" s="55" t="s">
        <v>144</v>
      </c>
      <c r="N427" s="58"/>
      <c r="O427" s="51">
        <f t="shared" si="130"/>
        <v>13</v>
      </c>
      <c r="Q427" s="59">
        <v>5.1050000000000004</v>
      </c>
      <c r="R427" s="60"/>
      <c r="T427" s="51">
        <v>0</v>
      </c>
      <c r="U427" s="61"/>
      <c r="V427" s="61"/>
      <c r="AA427" s="52"/>
      <c r="AB427" s="41" t="s">
        <v>296</v>
      </c>
    </row>
    <row r="428" spans="1:28" s="54" customFormat="1" x14ac:dyDescent="0.2">
      <c r="A428" s="52">
        <v>59</v>
      </c>
      <c r="B428" s="52" t="s">
        <v>174</v>
      </c>
      <c r="C428" s="53">
        <v>36767</v>
      </c>
      <c r="D428" s="54" t="s">
        <v>145</v>
      </c>
      <c r="E428" s="54" t="s">
        <v>14</v>
      </c>
      <c r="F428" s="54" t="s">
        <v>15</v>
      </c>
      <c r="G428" s="54" t="s">
        <v>33</v>
      </c>
      <c r="H428" s="55">
        <v>0</v>
      </c>
      <c r="I428" s="56">
        <f t="shared" si="129"/>
        <v>0</v>
      </c>
      <c r="J428" s="66">
        <v>36831</v>
      </c>
      <c r="K428" s="50">
        <v>1300</v>
      </c>
      <c r="L428" s="57" t="s">
        <v>25</v>
      </c>
      <c r="M428" s="55" t="s">
        <v>144</v>
      </c>
      <c r="N428" s="58"/>
      <c r="O428" s="51">
        <f t="shared" si="130"/>
        <v>13</v>
      </c>
      <c r="Q428" s="59">
        <v>4.3099999999999996</v>
      </c>
      <c r="R428" s="60"/>
      <c r="T428" s="51">
        <v>0</v>
      </c>
      <c r="U428" s="61"/>
      <c r="V428" s="61"/>
      <c r="AA428" s="52"/>
      <c r="AB428" s="41" t="s">
        <v>296</v>
      </c>
    </row>
    <row r="429" spans="1:28" s="54" customFormat="1" x14ac:dyDescent="0.2">
      <c r="A429" s="52">
        <v>59</v>
      </c>
      <c r="B429" s="52" t="s">
        <v>174</v>
      </c>
      <c r="C429" s="53">
        <v>36767</v>
      </c>
      <c r="D429" s="54" t="s">
        <v>145</v>
      </c>
      <c r="E429" s="54" t="s">
        <v>14</v>
      </c>
      <c r="F429" s="54" t="s">
        <v>15</v>
      </c>
      <c r="G429" s="54" t="s">
        <v>33</v>
      </c>
      <c r="H429" s="55">
        <v>0</v>
      </c>
      <c r="I429" s="56">
        <f t="shared" si="129"/>
        <v>0</v>
      </c>
      <c r="J429" s="66">
        <v>36861</v>
      </c>
      <c r="K429" s="50">
        <v>1300</v>
      </c>
      <c r="L429" s="57" t="s">
        <v>25</v>
      </c>
      <c r="M429" s="55" t="s">
        <v>144</v>
      </c>
      <c r="N429" s="58"/>
      <c r="O429" s="51">
        <f t="shared" si="130"/>
        <v>13</v>
      </c>
      <c r="Q429" s="59">
        <v>5.7750000000000004</v>
      </c>
      <c r="R429" s="60"/>
      <c r="T429" s="51">
        <v>0</v>
      </c>
      <c r="U429" s="61"/>
      <c r="V429" s="61"/>
      <c r="AA429" s="52"/>
      <c r="AB429" s="41" t="s">
        <v>296</v>
      </c>
    </row>
    <row r="430" spans="1:28" s="54" customFormat="1" x14ac:dyDescent="0.2">
      <c r="A430" s="52">
        <v>59</v>
      </c>
      <c r="B430" s="52" t="s">
        <v>174</v>
      </c>
      <c r="C430" s="53">
        <v>36767</v>
      </c>
      <c r="D430" s="54" t="s">
        <v>145</v>
      </c>
      <c r="E430" s="54" t="s">
        <v>14</v>
      </c>
      <c r="F430" s="54" t="s">
        <v>15</v>
      </c>
      <c r="G430" s="54" t="s">
        <v>33</v>
      </c>
      <c r="H430" s="55">
        <v>0</v>
      </c>
      <c r="I430" s="56">
        <f t="shared" si="129"/>
        <v>0</v>
      </c>
      <c r="J430" s="66">
        <v>36892</v>
      </c>
      <c r="K430" s="50">
        <v>1300</v>
      </c>
      <c r="L430" s="57" t="s">
        <v>25</v>
      </c>
      <c r="M430" s="55" t="s">
        <v>144</v>
      </c>
      <c r="N430" s="58"/>
      <c r="O430" s="51">
        <f t="shared" si="130"/>
        <v>13</v>
      </c>
      <c r="Q430" s="100">
        <v>9.5649999999999995</v>
      </c>
      <c r="R430" s="60"/>
      <c r="T430" s="62">
        <f>(9.1-Q430)*K430</f>
        <v>-604.49999999999977</v>
      </c>
      <c r="U430" s="61"/>
      <c r="V430" s="61"/>
      <c r="AA430" s="52"/>
      <c r="AB430" s="41" t="s">
        <v>296</v>
      </c>
    </row>
    <row r="431" spans="1:28" s="54" customFormat="1" x14ac:dyDescent="0.2">
      <c r="A431" s="52">
        <v>59</v>
      </c>
      <c r="B431" s="52" t="s">
        <v>174</v>
      </c>
      <c r="C431" s="53">
        <v>36767</v>
      </c>
      <c r="D431" s="54" t="s">
        <v>145</v>
      </c>
      <c r="E431" s="54" t="s">
        <v>14</v>
      </c>
      <c r="F431" s="54" t="s">
        <v>15</v>
      </c>
      <c r="G431" s="54" t="s">
        <v>33</v>
      </c>
      <c r="H431" s="55">
        <v>0</v>
      </c>
      <c r="I431" s="56">
        <f t="shared" si="129"/>
        <v>0</v>
      </c>
      <c r="J431" s="66">
        <v>36923</v>
      </c>
      <c r="K431" s="50">
        <v>1300</v>
      </c>
      <c r="L431" s="57" t="s">
        <v>25</v>
      </c>
      <c r="M431" s="55" t="s">
        <v>144</v>
      </c>
      <c r="N431" s="58"/>
      <c r="O431" s="51">
        <f t="shared" si="130"/>
        <v>13</v>
      </c>
      <c r="Q431" s="59"/>
      <c r="R431" s="60"/>
      <c r="T431" s="51"/>
      <c r="U431" s="61"/>
      <c r="V431" s="61"/>
      <c r="AA431" s="52"/>
      <c r="AB431" s="41" t="s">
        <v>296</v>
      </c>
    </row>
    <row r="432" spans="1:28" s="54" customFormat="1" x14ac:dyDescent="0.2">
      <c r="A432" s="52"/>
      <c r="B432" s="52"/>
      <c r="C432" s="53"/>
      <c r="H432" s="55"/>
      <c r="I432" s="56"/>
      <c r="J432" s="67"/>
      <c r="K432" s="50"/>
      <c r="L432" s="57"/>
      <c r="M432" s="55"/>
      <c r="N432" s="58"/>
      <c r="O432" s="51"/>
      <c r="Q432" s="59"/>
      <c r="R432" s="60"/>
      <c r="T432" s="51"/>
      <c r="U432" s="61"/>
      <c r="V432" s="61"/>
      <c r="AA432" s="52"/>
      <c r="AB432" s="41"/>
    </row>
    <row r="433" spans="1:28" s="54" customFormat="1" x14ac:dyDescent="0.2">
      <c r="A433" s="52">
        <v>60</v>
      </c>
      <c r="B433" s="52" t="s">
        <v>175</v>
      </c>
      <c r="C433" s="53">
        <v>36767</v>
      </c>
      <c r="D433" s="54" t="s">
        <v>146</v>
      </c>
      <c r="E433" s="54" t="s">
        <v>14</v>
      </c>
      <c r="F433" s="54" t="s">
        <v>15</v>
      </c>
      <c r="G433" s="54" t="s">
        <v>33</v>
      </c>
      <c r="H433" s="55">
        <v>0</v>
      </c>
      <c r="I433" s="56">
        <f t="shared" ref="I433:I438" si="131">+H433*K433</f>
        <v>0</v>
      </c>
      <c r="J433" s="66">
        <v>36770</v>
      </c>
      <c r="K433" s="50">
        <v>8000</v>
      </c>
      <c r="L433" s="57" t="s">
        <v>25</v>
      </c>
      <c r="M433" s="55" t="s">
        <v>144</v>
      </c>
      <c r="N433" s="58"/>
      <c r="O433" s="51">
        <f t="shared" ref="O433:O438" si="132">0.01*K433</f>
        <v>80</v>
      </c>
      <c r="Q433" s="59">
        <v>4.45</v>
      </c>
      <c r="R433" s="60"/>
      <c r="T433" s="51">
        <v>0</v>
      </c>
      <c r="U433" s="61"/>
      <c r="V433" s="61"/>
      <c r="Y433" s="54" t="s">
        <v>208</v>
      </c>
      <c r="AA433" s="52"/>
      <c r="AB433" s="41" t="s">
        <v>296</v>
      </c>
    </row>
    <row r="434" spans="1:28" s="54" customFormat="1" x14ac:dyDescent="0.2">
      <c r="A434" s="52">
        <v>60</v>
      </c>
      <c r="B434" s="52" t="s">
        <v>175</v>
      </c>
      <c r="C434" s="53">
        <v>36767</v>
      </c>
      <c r="D434" s="54" t="s">
        <v>146</v>
      </c>
      <c r="E434" s="54" t="s">
        <v>14</v>
      </c>
      <c r="F434" s="54" t="s">
        <v>15</v>
      </c>
      <c r="G434" s="54" t="s">
        <v>33</v>
      </c>
      <c r="H434" s="55">
        <v>0</v>
      </c>
      <c r="I434" s="56">
        <f t="shared" si="131"/>
        <v>0</v>
      </c>
      <c r="J434" s="66">
        <v>36800</v>
      </c>
      <c r="K434" s="50">
        <v>8000</v>
      </c>
      <c r="L434" s="57" t="s">
        <v>25</v>
      </c>
      <c r="M434" s="55" t="s">
        <v>144</v>
      </c>
      <c r="N434" s="58"/>
      <c r="O434" s="51">
        <f t="shared" si="132"/>
        <v>80</v>
      </c>
      <c r="Q434" s="59">
        <v>5.1050000000000004</v>
      </c>
      <c r="R434" s="60"/>
      <c r="T434" s="51">
        <v>0</v>
      </c>
      <c r="U434" s="61"/>
      <c r="V434" s="61"/>
      <c r="AA434" s="52"/>
      <c r="AB434" s="41" t="s">
        <v>296</v>
      </c>
    </row>
    <row r="435" spans="1:28" s="54" customFormat="1" x14ac:dyDescent="0.2">
      <c r="A435" s="52">
        <v>60</v>
      </c>
      <c r="B435" s="52" t="s">
        <v>175</v>
      </c>
      <c r="C435" s="53">
        <v>36767</v>
      </c>
      <c r="D435" s="54" t="s">
        <v>146</v>
      </c>
      <c r="E435" s="54" t="s">
        <v>14</v>
      </c>
      <c r="F435" s="54" t="s">
        <v>15</v>
      </c>
      <c r="G435" s="54" t="s">
        <v>33</v>
      </c>
      <c r="H435" s="55">
        <v>0</v>
      </c>
      <c r="I435" s="56">
        <f t="shared" si="131"/>
        <v>0</v>
      </c>
      <c r="J435" s="66">
        <v>36831</v>
      </c>
      <c r="K435" s="50">
        <v>8000</v>
      </c>
      <c r="L435" s="57" t="s">
        <v>25</v>
      </c>
      <c r="M435" s="55" t="s">
        <v>144</v>
      </c>
      <c r="N435" s="58"/>
      <c r="O435" s="51">
        <f t="shared" si="132"/>
        <v>80</v>
      </c>
      <c r="Q435" s="59">
        <v>4.3099999999999996</v>
      </c>
      <c r="R435" s="60"/>
      <c r="T435" s="51">
        <v>0</v>
      </c>
      <c r="U435" s="61"/>
      <c r="V435" s="61"/>
      <c r="AA435" s="52"/>
      <c r="AB435" s="41" t="s">
        <v>296</v>
      </c>
    </row>
    <row r="436" spans="1:28" s="54" customFormat="1" x14ac:dyDescent="0.2">
      <c r="A436" s="52">
        <v>60</v>
      </c>
      <c r="B436" s="52" t="s">
        <v>175</v>
      </c>
      <c r="C436" s="53">
        <v>36767</v>
      </c>
      <c r="D436" s="54" t="s">
        <v>146</v>
      </c>
      <c r="E436" s="54" t="s">
        <v>14</v>
      </c>
      <c r="F436" s="54" t="s">
        <v>15</v>
      </c>
      <c r="G436" s="54" t="s">
        <v>33</v>
      </c>
      <c r="H436" s="55">
        <v>0</v>
      </c>
      <c r="I436" s="56">
        <f t="shared" si="131"/>
        <v>0</v>
      </c>
      <c r="J436" s="66">
        <v>36861</v>
      </c>
      <c r="K436" s="50">
        <v>8000</v>
      </c>
      <c r="L436" s="57" t="s">
        <v>25</v>
      </c>
      <c r="M436" s="55" t="s">
        <v>144</v>
      </c>
      <c r="N436" s="58"/>
      <c r="O436" s="51">
        <f t="shared" si="132"/>
        <v>80</v>
      </c>
      <c r="Q436" s="59">
        <v>5.7750000000000004</v>
      </c>
      <c r="R436" s="60"/>
      <c r="T436" s="51">
        <v>0</v>
      </c>
      <c r="U436" s="61"/>
      <c r="V436" s="61"/>
      <c r="AA436" s="52"/>
      <c r="AB436" s="41" t="s">
        <v>296</v>
      </c>
    </row>
    <row r="437" spans="1:28" s="54" customFormat="1" x14ac:dyDescent="0.2">
      <c r="A437" s="52">
        <v>60</v>
      </c>
      <c r="B437" s="52" t="s">
        <v>175</v>
      </c>
      <c r="C437" s="53">
        <v>36767</v>
      </c>
      <c r="D437" s="54" t="s">
        <v>146</v>
      </c>
      <c r="E437" s="54" t="s">
        <v>14</v>
      </c>
      <c r="F437" s="54" t="s">
        <v>15</v>
      </c>
      <c r="G437" s="54" t="s">
        <v>33</v>
      </c>
      <c r="H437" s="55">
        <v>0</v>
      </c>
      <c r="I437" s="56">
        <f t="shared" si="131"/>
        <v>0</v>
      </c>
      <c r="J437" s="66">
        <v>36892</v>
      </c>
      <c r="K437" s="50">
        <v>8000</v>
      </c>
      <c r="L437" s="57" t="s">
        <v>25</v>
      </c>
      <c r="M437" s="55" t="s">
        <v>144</v>
      </c>
      <c r="N437" s="58"/>
      <c r="O437" s="51">
        <f t="shared" si="132"/>
        <v>80</v>
      </c>
      <c r="Q437" s="100">
        <v>9.5649999999999995</v>
      </c>
      <c r="R437" s="60"/>
      <c r="T437" s="62">
        <f>(9.1-Q437)*K437</f>
        <v>-3719.9999999999991</v>
      </c>
      <c r="U437" s="61"/>
      <c r="V437" s="61"/>
      <c r="AA437" s="52"/>
      <c r="AB437" s="41" t="s">
        <v>296</v>
      </c>
    </row>
    <row r="438" spans="1:28" s="54" customFormat="1" x14ac:dyDescent="0.2">
      <c r="A438" s="52">
        <v>60</v>
      </c>
      <c r="B438" s="52" t="s">
        <v>175</v>
      </c>
      <c r="C438" s="53">
        <v>36767</v>
      </c>
      <c r="D438" s="54" t="s">
        <v>146</v>
      </c>
      <c r="E438" s="54" t="s">
        <v>14</v>
      </c>
      <c r="F438" s="54" t="s">
        <v>15</v>
      </c>
      <c r="G438" s="54" t="s">
        <v>33</v>
      </c>
      <c r="H438" s="55">
        <v>0</v>
      </c>
      <c r="I438" s="56">
        <f t="shared" si="131"/>
        <v>0</v>
      </c>
      <c r="J438" s="66">
        <v>36923</v>
      </c>
      <c r="K438" s="50">
        <v>8000</v>
      </c>
      <c r="L438" s="57" t="s">
        <v>25</v>
      </c>
      <c r="M438" s="55" t="s">
        <v>144</v>
      </c>
      <c r="N438" s="58"/>
      <c r="O438" s="51">
        <f t="shared" si="132"/>
        <v>80</v>
      </c>
      <c r="Q438" s="59"/>
      <c r="R438" s="60"/>
      <c r="T438" s="51"/>
      <c r="U438" s="61"/>
      <c r="V438" s="61"/>
      <c r="AA438" s="52"/>
      <c r="AB438" s="41" t="s">
        <v>296</v>
      </c>
    </row>
    <row r="440" spans="1:28" x14ac:dyDescent="0.2">
      <c r="A440" s="91">
        <v>61</v>
      </c>
      <c r="B440" s="91" t="s">
        <v>179</v>
      </c>
      <c r="C440" s="92">
        <v>36767</v>
      </c>
      <c r="D440" s="41" t="s">
        <v>54</v>
      </c>
      <c r="E440" s="41" t="s">
        <v>14</v>
      </c>
      <c r="F440" s="41" t="s">
        <v>147</v>
      </c>
      <c r="G440" s="41" t="s">
        <v>16</v>
      </c>
      <c r="H440" s="93">
        <v>0</v>
      </c>
      <c r="I440" s="94">
        <f t="shared" ref="I440:I448" si="133">+H440*K440</f>
        <v>0</v>
      </c>
      <c r="J440" s="95">
        <v>36770</v>
      </c>
      <c r="K440" s="96">
        <v>15450</v>
      </c>
      <c r="L440" s="97" t="s">
        <v>25</v>
      </c>
      <c r="M440" s="93">
        <v>4.3150000000000004</v>
      </c>
      <c r="N440" s="99">
        <f t="shared" ref="N440:N448" si="134">K440*M440</f>
        <v>66666.75</v>
      </c>
      <c r="O440" s="62">
        <f t="shared" ref="O440:O448" si="135">0.0118*K440</f>
        <v>182.31</v>
      </c>
      <c r="Q440" s="100">
        <v>4.4400000000000004</v>
      </c>
      <c r="T440" s="62">
        <f>(M440-Q440)*K440</f>
        <v>-1931.25</v>
      </c>
      <c r="Y440" s="41" t="s">
        <v>180</v>
      </c>
      <c r="AA440" s="91" t="s">
        <v>202</v>
      </c>
      <c r="AB440" s="41" t="s">
        <v>296</v>
      </c>
    </row>
    <row r="441" spans="1:28" x14ac:dyDescent="0.2">
      <c r="A441" s="91">
        <v>61</v>
      </c>
      <c r="B441" s="91" t="s">
        <v>179</v>
      </c>
      <c r="C441" s="92">
        <v>36767</v>
      </c>
      <c r="D441" s="41" t="s">
        <v>54</v>
      </c>
      <c r="E441" s="41" t="s">
        <v>14</v>
      </c>
      <c r="F441" s="41" t="s">
        <v>147</v>
      </c>
      <c r="G441" s="41" t="s">
        <v>16</v>
      </c>
      <c r="H441" s="93">
        <v>0</v>
      </c>
      <c r="I441" s="94">
        <f t="shared" si="133"/>
        <v>0</v>
      </c>
      <c r="J441" s="95">
        <v>36800</v>
      </c>
      <c r="K441" s="96">
        <v>15800</v>
      </c>
      <c r="L441" s="97" t="s">
        <v>25</v>
      </c>
      <c r="M441" s="93">
        <v>4.3150000000000004</v>
      </c>
      <c r="N441" s="99">
        <f t="shared" si="134"/>
        <v>68177</v>
      </c>
      <c r="O441" s="62">
        <f t="shared" si="135"/>
        <v>186.44</v>
      </c>
      <c r="Q441" s="100">
        <v>5.08</v>
      </c>
      <c r="T441" s="62">
        <f>(M441-Q441)*K441</f>
        <v>-12086.999999999995</v>
      </c>
      <c r="AA441" s="91" t="s">
        <v>202</v>
      </c>
      <c r="AB441" s="41" t="s">
        <v>296</v>
      </c>
    </row>
    <row r="442" spans="1:28" x14ac:dyDescent="0.2">
      <c r="A442" s="91">
        <v>61</v>
      </c>
      <c r="B442" s="91" t="s">
        <v>179</v>
      </c>
      <c r="C442" s="92">
        <v>36767</v>
      </c>
      <c r="D442" s="41" t="s">
        <v>54</v>
      </c>
      <c r="E442" s="41" t="s">
        <v>14</v>
      </c>
      <c r="F442" s="41" t="s">
        <v>147</v>
      </c>
      <c r="G442" s="41" t="s">
        <v>16</v>
      </c>
      <c r="H442" s="93">
        <v>0</v>
      </c>
      <c r="I442" s="94">
        <f t="shared" si="133"/>
        <v>0</v>
      </c>
      <c r="J442" s="95">
        <v>36831</v>
      </c>
      <c r="K442" s="96">
        <v>15450</v>
      </c>
      <c r="L442" s="97" t="s">
        <v>25</v>
      </c>
      <c r="M442" s="93">
        <v>4.3150000000000004</v>
      </c>
      <c r="N442" s="99">
        <f t="shared" si="134"/>
        <v>66666.75</v>
      </c>
      <c r="O442" s="62">
        <f t="shared" si="135"/>
        <v>182.31</v>
      </c>
      <c r="Q442" s="100">
        <v>4.28</v>
      </c>
      <c r="T442" s="62">
        <f>(M442-Q442)*K442</f>
        <v>540.75000000000216</v>
      </c>
      <c r="AA442" s="91" t="s">
        <v>202</v>
      </c>
      <c r="AB442" s="41" t="s">
        <v>296</v>
      </c>
    </row>
    <row r="443" spans="1:28" x14ac:dyDescent="0.2">
      <c r="A443" s="91">
        <v>61</v>
      </c>
      <c r="B443" s="91" t="s">
        <v>179</v>
      </c>
      <c r="C443" s="92">
        <v>36767</v>
      </c>
      <c r="D443" s="41" t="s">
        <v>54</v>
      </c>
      <c r="E443" s="41" t="s">
        <v>14</v>
      </c>
      <c r="F443" s="41" t="s">
        <v>147</v>
      </c>
      <c r="G443" s="41" t="s">
        <v>16</v>
      </c>
      <c r="H443" s="93">
        <v>0</v>
      </c>
      <c r="I443" s="94">
        <f t="shared" si="133"/>
        <v>0</v>
      </c>
      <c r="J443" s="95">
        <v>36861</v>
      </c>
      <c r="K443" s="96">
        <v>15450</v>
      </c>
      <c r="L443" s="97" t="s">
        <v>25</v>
      </c>
      <c r="M443" s="93">
        <v>4.3150000000000004</v>
      </c>
      <c r="N443" s="99">
        <f t="shared" si="134"/>
        <v>66666.75</v>
      </c>
      <c r="O443" s="62">
        <f t="shared" si="135"/>
        <v>182.31</v>
      </c>
      <c r="Q443" s="100">
        <v>5.72</v>
      </c>
      <c r="T443" s="62">
        <f>(M443-Q443)*K443</f>
        <v>-21707.249999999989</v>
      </c>
      <c r="AA443" s="91" t="s">
        <v>202</v>
      </c>
      <c r="AB443" s="41" t="s">
        <v>296</v>
      </c>
    </row>
    <row r="444" spans="1:28" x14ac:dyDescent="0.2">
      <c r="A444" s="91">
        <v>61</v>
      </c>
      <c r="B444" s="91" t="s">
        <v>179</v>
      </c>
      <c r="C444" s="92">
        <v>36767</v>
      </c>
      <c r="D444" s="41" t="s">
        <v>54</v>
      </c>
      <c r="E444" s="41" t="s">
        <v>14</v>
      </c>
      <c r="F444" s="41" t="s">
        <v>147</v>
      </c>
      <c r="G444" s="41" t="s">
        <v>16</v>
      </c>
      <c r="H444" s="93">
        <v>0</v>
      </c>
      <c r="I444" s="94">
        <f t="shared" si="133"/>
        <v>0</v>
      </c>
      <c r="J444" s="95">
        <v>36892</v>
      </c>
      <c r="K444" s="96">
        <v>15200</v>
      </c>
      <c r="L444" s="97" t="s">
        <v>25</v>
      </c>
      <c r="M444" s="93">
        <v>4.3150000000000004</v>
      </c>
      <c r="N444" s="99">
        <f t="shared" si="134"/>
        <v>65588</v>
      </c>
      <c r="O444" s="62">
        <f t="shared" si="135"/>
        <v>179.35999999999999</v>
      </c>
      <c r="Q444" s="100">
        <v>9.51</v>
      </c>
      <c r="T444" s="62">
        <f>(M444-Q444)*K444</f>
        <v>-78963.999999999985</v>
      </c>
      <c r="U444" s="62"/>
      <c r="AA444" s="91" t="s">
        <v>202</v>
      </c>
      <c r="AB444" s="41" t="s">
        <v>296</v>
      </c>
    </row>
    <row r="445" spans="1:28" x14ac:dyDescent="0.2">
      <c r="A445" s="91">
        <v>61</v>
      </c>
      <c r="B445" s="91" t="s">
        <v>179</v>
      </c>
      <c r="C445" s="92">
        <v>36767</v>
      </c>
      <c r="D445" s="41" t="s">
        <v>54</v>
      </c>
      <c r="E445" s="41" t="s">
        <v>14</v>
      </c>
      <c r="F445" s="41" t="s">
        <v>147</v>
      </c>
      <c r="G445" s="41" t="s">
        <v>16</v>
      </c>
      <c r="H445" s="93">
        <v>0</v>
      </c>
      <c r="I445" s="94">
        <f t="shared" si="133"/>
        <v>0</v>
      </c>
      <c r="J445" s="95">
        <v>36923</v>
      </c>
      <c r="K445" s="96">
        <v>8200</v>
      </c>
      <c r="L445" s="97" t="s">
        <v>25</v>
      </c>
      <c r="M445" s="93">
        <v>4.3150000000000004</v>
      </c>
      <c r="N445" s="99">
        <f t="shared" si="134"/>
        <v>35383</v>
      </c>
      <c r="O445" s="62">
        <f t="shared" si="135"/>
        <v>96.759999999999991</v>
      </c>
      <c r="R445" s="101">
        <v>8.26</v>
      </c>
      <c r="U445" s="62">
        <f>(M445-R445)*K445</f>
        <v>-32348.999999999996</v>
      </c>
      <c r="AA445" s="91" t="s">
        <v>202</v>
      </c>
      <c r="AB445" s="41" t="s">
        <v>296</v>
      </c>
    </row>
    <row r="446" spans="1:28" x14ac:dyDescent="0.2">
      <c r="A446" s="91">
        <v>61</v>
      </c>
      <c r="B446" s="91" t="s">
        <v>179</v>
      </c>
      <c r="C446" s="92">
        <v>36767</v>
      </c>
      <c r="D446" s="41" t="s">
        <v>54</v>
      </c>
      <c r="E446" s="41" t="s">
        <v>14</v>
      </c>
      <c r="F446" s="41" t="s">
        <v>147</v>
      </c>
      <c r="G446" s="41" t="s">
        <v>16</v>
      </c>
      <c r="H446" s="93">
        <v>0</v>
      </c>
      <c r="I446" s="94">
        <f t="shared" si="133"/>
        <v>0</v>
      </c>
      <c r="J446" s="95">
        <v>36951</v>
      </c>
      <c r="K446" s="96">
        <v>15450</v>
      </c>
      <c r="L446" s="97" t="s">
        <v>25</v>
      </c>
      <c r="M446" s="93">
        <v>4.3150000000000004</v>
      </c>
      <c r="N446" s="99">
        <f t="shared" si="134"/>
        <v>66666.75</v>
      </c>
      <c r="O446" s="62">
        <f t="shared" si="135"/>
        <v>182.31</v>
      </c>
      <c r="R446" s="101">
        <v>7.55</v>
      </c>
      <c r="U446" s="62">
        <f>(M446-R446)*K446</f>
        <v>-49980.749999999993</v>
      </c>
      <c r="AA446" s="91" t="s">
        <v>202</v>
      </c>
      <c r="AB446" s="41" t="s">
        <v>296</v>
      </c>
    </row>
    <row r="447" spans="1:28" x14ac:dyDescent="0.2">
      <c r="A447" s="91">
        <v>61</v>
      </c>
      <c r="B447" s="91" t="s">
        <v>179</v>
      </c>
      <c r="C447" s="92">
        <v>36767</v>
      </c>
      <c r="D447" s="41" t="s">
        <v>54</v>
      </c>
      <c r="E447" s="41" t="s">
        <v>14</v>
      </c>
      <c r="F447" s="41" t="s">
        <v>147</v>
      </c>
      <c r="G447" s="41" t="s">
        <v>16</v>
      </c>
      <c r="H447" s="93">
        <v>0</v>
      </c>
      <c r="I447" s="94">
        <f t="shared" si="133"/>
        <v>0</v>
      </c>
      <c r="J447" s="95">
        <v>36982</v>
      </c>
      <c r="K447" s="96">
        <v>15450</v>
      </c>
      <c r="L447" s="97" t="s">
        <v>25</v>
      </c>
      <c r="M447" s="93">
        <v>4.3150000000000004</v>
      </c>
      <c r="N447" s="99">
        <f t="shared" si="134"/>
        <v>66666.75</v>
      </c>
      <c r="O447" s="62">
        <f t="shared" si="135"/>
        <v>182.31</v>
      </c>
      <c r="R447" s="101">
        <v>5.4950000000000001</v>
      </c>
      <c r="U447" s="62">
        <f>(M447-R447)*K447</f>
        <v>-18230.999999999996</v>
      </c>
      <c r="AA447" s="91" t="s">
        <v>202</v>
      </c>
      <c r="AB447" s="41" t="s">
        <v>296</v>
      </c>
    </row>
    <row r="448" spans="1:28" x14ac:dyDescent="0.2">
      <c r="A448" s="91">
        <v>61</v>
      </c>
      <c r="B448" s="91" t="s">
        <v>179</v>
      </c>
      <c r="C448" s="92">
        <v>36767</v>
      </c>
      <c r="D448" s="41" t="s">
        <v>54</v>
      </c>
      <c r="E448" s="41" t="s">
        <v>14</v>
      </c>
      <c r="F448" s="41" t="s">
        <v>147</v>
      </c>
      <c r="G448" s="41" t="s">
        <v>16</v>
      </c>
      <c r="H448" s="93">
        <v>0</v>
      </c>
      <c r="I448" s="94">
        <f t="shared" si="133"/>
        <v>0</v>
      </c>
      <c r="J448" s="95">
        <v>37012</v>
      </c>
      <c r="K448" s="96">
        <v>15450</v>
      </c>
      <c r="L448" s="97" t="s">
        <v>25</v>
      </c>
      <c r="M448" s="93">
        <v>4.3150000000000004</v>
      </c>
      <c r="N448" s="99">
        <f t="shared" si="134"/>
        <v>66666.75</v>
      </c>
      <c r="O448" s="62">
        <f t="shared" si="135"/>
        <v>182.31</v>
      </c>
      <c r="R448" s="101">
        <v>5.0599999999999996</v>
      </c>
      <c r="U448" s="62">
        <f>(M448-R448)*K448</f>
        <v>-11510.249999999987</v>
      </c>
      <c r="AA448" s="91" t="s">
        <v>202</v>
      </c>
      <c r="AB448" s="41" t="s">
        <v>296</v>
      </c>
    </row>
    <row r="450" spans="1:28" x14ac:dyDescent="0.2">
      <c r="A450" s="91">
        <v>62</v>
      </c>
      <c r="B450" s="91" t="s">
        <v>178</v>
      </c>
      <c r="C450" s="92">
        <v>36767</v>
      </c>
      <c r="D450" s="41" t="s">
        <v>54</v>
      </c>
      <c r="E450" s="41" t="s">
        <v>14</v>
      </c>
      <c r="F450" s="41" t="s">
        <v>148</v>
      </c>
      <c r="G450" s="41" t="s">
        <v>16</v>
      </c>
      <c r="H450" s="93">
        <v>0</v>
      </c>
      <c r="I450" s="94">
        <f t="shared" ref="I450:I458" si="136">+H450*K450</f>
        <v>0</v>
      </c>
      <c r="J450" s="95">
        <v>36770</v>
      </c>
      <c r="K450" s="96">
        <v>15450</v>
      </c>
      <c r="L450" s="97" t="s">
        <v>25</v>
      </c>
      <c r="M450" s="93">
        <v>4.3150000000000004</v>
      </c>
      <c r="N450" s="99">
        <f t="shared" ref="N450:N458" si="137">K450*M450</f>
        <v>66666.75</v>
      </c>
      <c r="O450" s="62">
        <f t="shared" ref="O450:O458" si="138">0.0118*K450</f>
        <v>182.31</v>
      </c>
      <c r="Q450" s="100">
        <v>4.46</v>
      </c>
      <c r="T450" s="62">
        <f>(M450-Q450)*K450</f>
        <v>-2240.2499999999936</v>
      </c>
      <c r="Y450" s="41" t="s">
        <v>180</v>
      </c>
      <c r="AA450" s="91" t="s">
        <v>202</v>
      </c>
      <c r="AB450" s="41" t="s">
        <v>296</v>
      </c>
    </row>
    <row r="451" spans="1:28" x14ac:dyDescent="0.2">
      <c r="A451" s="91">
        <v>62</v>
      </c>
      <c r="B451" s="91" t="s">
        <v>178</v>
      </c>
      <c r="C451" s="92">
        <v>36767</v>
      </c>
      <c r="D451" s="41" t="s">
        <v>54</v>
      </c>
      <c r="E451" s="41" t="s">
        <v>14</v>
      </c>
      <c r="F451" s="41" t="s">
        <v>148</v>
      </c>
      <c r="G451" s="41" t="s">
        <v>16</v>
      </c>
      <c r="H451" s="93">
        <v>0</v>
      </c>
      <c r="I451" s="94">
        <f t="shared" si="136"/>
        <v>0</v>
      </c>
      <c r="J451" s="95">
        <v>36800</v>
      </c>
      <c r="K451" s="96">
        <v>15800</v>
      </c>
      <c r="L451" s="97" t="s">
        <v>25</v>
      </c>
      <c r="M451" s="93">
        <v>4.3150000000000004</v>
      </c>
      <c r="N451" s="99">
        <f t="shared" si="137"/>
        <v>68177</v>
      </c>
      <c r="O451" s="62">
        <f t="shared" si="138"/>
        <v>186.44</v>
      </c>
      <c r="Q451" s="100">
        <v>5.13</v>
      </c>
      <c r="T451" s="62">
        <f>(M451-Q451)*K451</f>
        <v>-12876.999999999993</v>
      </c>
      <c r="AA451" s="91" t="s">
        <v>202</v>
      </c>
      <c r="AB451" s="41" t="s">
        <v>296</v>
      </c>
    </row>
    <row r="452" spans="1:28" x14ac:dyDescent="0.2">
      <c r="A452" s="91">
        <v>62</v>
      </c>
      <c r="B452" s="91" t="s">
        <v>178</v>
      </c>
      <c r="C452" s="92">
        <v>36767</v>
      </c>
      <c r="D452" s="41" t="s">
        <v>54</v>
      </c>
      <c r="E452" s="41" t="s">
        <v>14</v>
      </c>
      <c r="F452" s="41" t="s">
        <v>148</v>
      </c>
      <c r="G452" s="41" t="s">
        <v>16</v>
      </c>
      <c r="H452" s="93">
        <v>0</v>
      </c>
      <c r="I452" s="94">
        <f t="shared" si="136"/>
        <v>0</v>
      </c>
      <c r="J452" s="95">
        <v>36831</v>
      </c>
      <c r="K452" s="96">
        <v>15450</v>
      </c>
      <c r="L452" s="97" t="s">
        <v>25</v>
      </c>
      <c r="M452" s="93">
        <v>4.3150000000000004</v>
      </c>
      <c r="N452" s="99">
        <f t="shared" si="137"/>
        <v>66666.75</v>
      </c>
      <c r="O452" s="62">
        <f t="shared" si="138"/>
        <v>182.31</v>
      </c>
      <c r="Q452" s="100">
        <v>4.34</v>
      </c>
      <c r="T452" s="62">
        <f>(M452-Q452)*K452</f>
        <v>-386.24999999999176</v>
      </c>
      <c r="AA452" s="91" t="s">
        <v>202</v>
      </c>
      <c r="AB452" s="41" t="s">
        <v>296</v>
      </c>
    </row>
    <row r="453" spans="1:28" x14ac:dyDescent="0.2">
      <c r="A453" s="91">
        <v>62</v>
      </c>
      <c r="B453" s="91" t="s">
        <v>178</v>
      </c>
      <c r="C453" s="92">
        <v>36767</v>
      </c>
      <c r="D453" s="41" t="s">
        <v>54</v>
      </c>
      <c r="E453" s="41" t="s">
        <v>14</v>
      </c>
      <c r="F453" s="41" t="s">
        <v>148</v>
      </c>
      <c r="G453" s="41" t="s">
        <v>16</v>
      </c>
      <c r="H453" s="93">
        <v>0</v>
      </c>
      <c r="I453" s="94">
        <f t="shared" si="136"/>
        <v>0</v>
      </c>
      <c r="J453" s="95">
        <v>36861</v>
      </c>
      <c r="K453" s="96">
        <v>15450</v>
      </c>
      <c r="L453" s="97" t="s">
        <v>25</v>
      </c>
      <c r="M453" s="93">
        <v>4.3150000000000004</v>
      </c>
      <c r="N453" s="99">
        <f t="shared" si="137"/>
        <v>66666.75</v>
      </c>
      <c r="O453" s="62">
        <f t="shared" si="138"/>
        <v>182.31</v>
      </c>
      <c r="Q453" s="100">
        <v>5.83</v>
      </c>
      <c r="T453" s="62">
        <f>(M453-Q453)*K453</f>
        <v>-23406.749999999996</v>
      </c>
      <c r="AA453" s="91" t="s">
        <v>202</v>
      </c>
      <c r="AB453" s="41" t="s">
        <v>296</v>
      </c>
    </row>
    <row r="454" spans="1:28" x14ac:dyDescent="0.2">
      <c r="A454" s="91">
        <v>62</v>
      </c>
      <c r="B454" s="91" t="s">
        <v>178</v>
      </c>
      <c r="C454" s="92">
        <v>36767</v>
      </c>
      <c r="D454" s="41" t="s">
        <v>54</v>
      </c>
      <c r="E454" s="41" t="s">
        <v>14</v>
      </c>
      <c r="F454" s="41" t="s">
        <v>148</v>
      </c>
      <c r="G454" s="41" t="s">
        <v>16</v>
      </c>
      <c r="H454" s="93">
        <v>0</v>
      </c>
      <c r="I454" s="94">
        <f t="shared" si="136"/>
        <v>0</v>
      </c>
      <c r="J454" s="95">
        <v>36892</v>
      </c>
      <c r="K454" s="96">
        <v>15200</v>
      </c>
      <c r="L454" s="97" t="s">
        <v>25</v>
      </c>
      <c r="M454" s="93">
        <v>4.3150000000000004</v>
      </c>
      <c r="N454" s="99">
        <f t="shared" si="137"/>
        <v>65588</v>
      </c>
      <c r="O454" s="62">
        <f t="shared" si="138"/>
        <v>179.35999999999999</v>
      </c>
      <c r="Q454" s="100">
        <v>9.6199999999999992</v>
      </c>
      <c r="T454" s="62">
        <f>(M454-Q454)*K454</f>
        <v>-80635.999999999985</v>
      </c>
      <c r="U454" s="62"/>
      <c r="AA454" s="91" t="s">
        <v>202</v>
      </c>
      <c r="AB454" s="41" t="s">
        <v>296</v>
      </c>
    </row>
    <row r="455" spans="1:28" x14ac:dyDescent="0.2">
      <c r="A455" s="91">
        <v>62</v>
      </c>
      <c r="B455" s="91" t="s">
        <v>178</v>
      </c>
      <c r="C455" s="92">
        <v>36767</v>
      </c>
      <c r="D455" s="41" t="s">
        <v>54</v>
      </c>
      <c r="E455" s="41" t="s">
        <v>14</v>
      </c>
      <c r="F455" s="41" t="s">
        <v>148</v>
      </c>
      <c r="G455" s="41" t="s">
        <v>16</v>
      </c>
      <c r="H455" s="93">
        <v>0</v>
      </c>
      <c r="I455" s="94">
        <f t="shared" si="136"/>
        <v>0</v>
      </c>
      <c r="J455" s="95">
        <v>36923</v>
      </c>
      <c r="K455" s="96">
        <v>8200</v>
      </c>
      <c r="L455" s="97" t="s">
        <v>25</v>
      </c>
      <c r="M455" s="93">
        <v>4.3150000000000004</v>
      </c>
      <c r="N455" s="99">
        <f t="shared" si="137"/>
        <v>35383</v>
      </c>
      <c r="O455" s="62">
        <f t="shared" si="138"/>
        <v>96.759999999999991</v>
      </c>
      <c r="R455" s="101">
        <v>8.26</v>
      </c>
      <c r="U455" s="62">
        <f>(M455-R455)*K455</f>
        <v>-32348.999999999996</v>
      </c>
      <c r="AA455" s="91" t="s">
        <v>202</v>
      </c>
      <c r="AB455" s="41" t="s">
        <v>296</v>
      </c>
    </row>
    <row r="456" spans="1:28" x14ac:dyDescent="0.2">
      <c r="A456" s="91">
        <v>62</v>
      </c>
      <c r="B456" s="91" t="s">
        <v>178</v>
      </c>
      <c r="C456" s="92">
        <v>36767</v>
      </c>
      <c r="D456" s="41" t="s">
        <v>54</v>
      </c>
      <c r="E456" s="41" t="s">
        <v>14</v>
      </c>
      <c r="F456" s="41" t="s">
        <v>148</v>
      </c>
      <c r="G456" s="41" t="s">
        <v>16</v>
      </c>
      <c r="H456" s="93">
        <v>0</v>
      </c>
      <c r="I456" s="94">
        <f t="shared" si="136"/>
        <v>0</v>
      </c>
      <c r="J456" s="95">
        <v>36951</v>
      </c>
      <c r="K456" s="96">
        <v>15450</v>
      </c>
      <c r="L456" s="97" t="s">
        <v>25</v>
      </c>
      <c r="M456" s="93">
        <v>4.3150000000000004</v>
      </c>
      <c r="N456" s="99">
        <f t="shared" si="137"/>
        <v>66666.75</v>
      </c>
      <c r="O456" s="62">
        <f t="shared" si="138"/>
        <v>182.31</v>
      </c>
      <c r="R456" s="101">
        <v>7.55</v>
      </c>
      <c r="U456" s="62">
        <f>(M456-R456)*K456</f>
        <v>-49980.749999999993</v>
      </c>
      <c r="AA456" s="91" t="s">
        <v>202</v>
      </c>
      <c r="AB456" s="41" t="s">
        <v>296</v>
      </c>
    </row>
    <row r="457" spans="1:28" x14ac:dyDescent="0.2">
      <c r="A457" s="91">
        <v>62</v>
      </c>
      <c r="B457" s="91" t="s">
        <v>178</v>
      </c>
      <c r="C457" s="92">
        <v>36767</v>
      </c>
      <c r="D457" s="41" t="s">
        <v>54</v>
      </c>
      <c r="E457" s="41" t="s">
        <v>14</v>
      </c>
      <c r="F457" s="41" t="s">
        <v>148</v>
      </c>
      <c r="G457" s="41" t="s">
        <v>16</v>
      </c>
      <c r="H457" s="93">
        <v>0</v>
      </c>
      <c r="I457" s="94">
        <f t="shared" si="136"/>
        <v>0</v>
      </c>
      <c r="J457" s="95">
        <v>36982</v>
      </c>
      <c r="K457" s="96">
        <v>15450</v>
      </c>
      <c r="L457" s="97" t="s">
        <v>25</v>
      </c>
      <c r="M457" s="93">
        <v>4.3150000000000004</v>
      </c>
      <c r="N457" s="99">
        <f t="shared" si="137"/>
        <v>66666.75</v>
      </c>
      <c r="O457" s="62">
        <f t="shared" si="138"/>
        <v>182.31</v>
      </c>
      <c r="R457" s="101">
        <v>5.4950000000000001</v>
      </c>
      <c r="U457" s="62">
        <f>(M457-R457)*K457</f>
        <v>-18230.999999999996</v>
      </c>
      <c r="AA457" s="91" t="s">
        <v>202</v>
      </c>
      <c r="AB457" s="41" t="s">
        <v>296</v>
      </c>
    </row>
    <row r="458" spans="1:28" x14ac:dyDescent="0.2">
      <c r="A458" s="91">
        <v>62</v>
      </c>
      <c r="B458" s="91" t="s">
        <v>178</v>
      </c>
      <c r="C458" s="92">
        <v>36767</v>
      </c>
      <c r="D458" s="41" t="s">
        <v>54</v>
      </c>
      <c r="E458" s="41" t="s">
        <v>14</v>
      </c>
      <c r="F458" s="41" t="s">
        <v>148</v>
      </c>
      <c r="G458" s="41" t="s">
        <v>16</v>
      </c>
      <c r="H458" s="93">
        <v>0</v>
      </c>
      <c r="I458" s="94">
        <f t="shared" si="136"/>
        <v>0</v>
      </c>
      <c r="J458" s="95">
        <v>37012</v>
      </c>
      <c r="K458" s="96">
        <v>15450</v>
      </c>
      <c r="L458" s="97" t="s">
        <v>25</v>
      </c>
      <c r="M458" s="93">
        <v>4.3150000000000004</v>
      </c>
      <c r="N458" s="99">
        <f t="shared" si="137"/>
        <v>66666.75</v>
      </c>
      <c r="O458" s="62">
        <f t="shared" si="138"/>
        <v>182.31</v>
      </c>
      <c r="R458" s="101">
        <v>5.0599999999999996</v>
      </c>
      <c r="U458" s="62">
        <f>(M458-R458)*K458</f>
        <v>-11510.249999999987</v>
      </c>
      <c r="AA458" s="91" t="s">
        <v>202</v>
      </c>
      <c r="AB458" s="41" t="s">
        <v>296</v>
      </c>
    </row>
    <row r="460" spans="1:28" x14ac:dyDescent="0.2">
      <c r="A460" s="91">
        <v>63</v>
      </c>
      <c r="B460" s="91" t="s">
        <v>194</v>
      </c>
      <c r="C460" s="92">
        <v>36790</v>
      </c>
      <c r="D460" s="41" t="s">
        <v>183</v>
      </c>
      <c r="E460" s="41" t="s">
        <v>14</v>
      </c>
      <c r="F460" s="41" t="s">
        <v>21</v>
      </c>
      <c r="G460" s="41" t="s">
        <v>16</v>
      </c>
      <c r="H460" s="93">
        <v>0</v>
      </c>
      <c r="I460" s="94">
        <f t="shared" ref="I460:I491" si="139">+H460*K460</f>
        <v>0</v>
      </c>
      <c r="J460" s="95">
        <v>36800</v>
      </c>
      <c r="K460" s="96">
        <v>165000</v>
      </c>
      <c r="L460" s="97" t="s">
        <v>25</v>
      </c>
      <c r="M460" s="98">
        <v>4.05</v>
      </c>
      <c r="N460" s="99">
        <f t="shared" ref="N460:N491" si="140">K460*M460</f>
        <v>668250</v>
      </c>
      <c r="O460" s="62">
        <f t="shared" ref="O460:O491" si="141">0.075*K460</f>
        <v>12375</v>
      </c>
      <c r="Q460" s="100">
        <v>5.3</v>
      </c>
      <c r="T460" s="62">
        <f>(M460-Q460)*K460</f>
        <v>-206250</v>
      </c>
      <c r="Y460" s="41" t="s">
        <v>207</v>
      </c>
      <c r="AB460" s="41" t="s">
        <v>296</v>
      </c>
    </row>
    <row r="461" spans="1:28" x14ac:dyDescent="0.2">
      <c r="A461" s="91">
        <v>63</v>
      </c>
      <c r="B461" s="91" t="s">
        <v>194</v>
      </c>
      <c r="C461" s="92">
        <v>36790</v>
      </c>
      <c r="D461" s="41" t="s">
        <v>183</v>
      </c>
      <c r="E461" s="41" t="s">
        <v>14</v>
      </c>
      <c r="F461" s="41" t="s">
        <v>21</v>
      </c>
      <c r="G461" s="41" t="s">
        <v>16</v>
      </c>
      <c r="H461" s="93">
        <v>0</v>
      </c>
      <c r="I461" s="94">
        <f t="shared" si="139"/>
        <v>0</v>
      </c>
      <c r="J461" s="95">
        <v>36831</v>
      </c>
      <c r="K461" s="96">
        <v>165000</v>
      </c>
      <c r="L461" s="97" t="s">
        <v>25</v>
      </c>
      <c r="M461" s="98">
        <v>4.05</v>
      </c>
      <c r="N461" s="99">
        <f t="shared" si="140"/>
        <v>668250</v>
      </c>
      <c r="O461" s="62">
        <f t="shared" si="141"/>
        <v>12375</v>
      </c>
      <c r="Q461" s="100">
        <v>4.46</v>
      </c>
      <c r="T461" s="62">
        <f>(M461-Q461)*K461</f>
        <v>-67650.000000000029</v>
      </c>
      <c r="AB461" s="41" t="s">
        <v>296</v>
      </c>
    </row>
    <row r="462" spans="1:28" x14ac:dyDescent="0.2">
      <c r="A462" s="91">
        <v>63</v>
      </c>
      <c r="B462" s="91" t="s">
        <v>194</v>
      </c>
      <c r="C462" s="92">
        <v>36790</v>
      </c>
      <c r="D462" s="41" t="s">
        <v>183</v>
      </c>
      <c r="E462" s="41" t="s">
        <v>14</v>
      </c>
      <c r="F462" s="41" t="s">
        <v>21</v>
      </c>
      <c r="G462" s="41" t="s">
        <v>16</v>
      </c>
      <c r="H462" s="93">
        <v>0</v>
      </c>
      <c r="I462" s="94">
        <f t="shared" si="139"/>
        <v>0</v>
      </c>
      <c r="J462" s="95">
        <v>36861</v>
      </c>
      <c r="K462" s="96">
        <v>165000</v>
      </c>
      <c r="L462" s="97" t="s">
        <v>25</v>
      </c>
      <c r="M462" s="98">
        <v>4.05</v>
      </c>
      <c r="N462" s="99">
        <f t="shared" si="140"/>
        <v>668250</v>
      </c>
      <c r="O462" s="62">
        <f t="shared" si="141"/>
        <v>12375</v>
      </c>
      <c r="Q462" s="100" t="s">
        <v>298</v>
      </c>
      <c r="T462" s="100" t="s">
        <v>298</v>
      </c>
      <c r="AB462" s="41" t="s">
        <v>296</v>
      </c>
    </row>
    <row r="463" spans="1:28" x14ac:dyDescent="0.2">
      <c r="A463" s="91">
        <v>63</v>
      </c>
      <c r="B463" s="91" t="s">
        <v>194</v>
      </c>
      <c r="C463" s="92">
        <v>36790</v>
      </c>
      <c r="D463" s="41" t="s">
        <v>183</v>
      </c>
      <c r="E463" s="41" t="s">
        <v>14</v>
      </c>
      <c r="F463" s="41" t="s">
        <v>21</v>
      </c>
      <c r="G463" s="41" t="s">
        <v>16</v>
      </c>
      <c r="H463" s="93">
        <v>0</v>
      </c>
      <c r="I463" s="94">
        <f t="shared" si="139"/>
        <v>0</v>
      </c>
      <c r="J463" s="95">
        <v>36892</v>
      </c>
      <c r="K463" s="96">
        <v>165000</v>
      </c>
      <c r="L463" s="97" t="s">
        <v>25</v>
      </c>
      <c r="M463" s="98">
        <v>4.05</v>
      </c>
      <c r="N463" s="99">
        <f t="shared" si="140"/>
        <v>668250</v>
      </c>
      <c r="O463" s="62">
        <f t="shared" si="141"/>
        <v>12375</v>
      </c>
      <c r="Q463" s="100" t="s">
        <v>298</v>
      </c>
      <c r="T463" s="100" t="s">
        <v>298</v>
      </c>
      <c r="AB463" s="41" t="s">
        <v>296</v>
      </c>
    </row>
    <row r="464" spans="1:28" x14ac:dyDescent="0.2">
      <c r="A464" s="91">
        <v>63</v>
      </c>
      <c r="B464" s="91" t="s">
        <v>194</v>
      </c>
      <c r="C464" s="92">
        <v>36790</v>
      </c>
      <c r="D464" s="41" t="s">
        <v>183</v>
      </c>
      <c r="E464" s="41" t="s">
        <v>14</v>
      </c>
      <c r="F464" s="41" t="s">
        <v>21</v>
      </c>
      <c r="G464" s="41" t="s">
        <v>16</v>
      </c>
      <c r="H464" s="93">
        <v>0</v>
      </c>
      <c r="I464" s="94">
        <f t="shared" si="139"/>
        <v>0</v>
      </c>
      <c r="J464" s="95">
        <v>36923</v>
      </c>
      <c r="K464" s="96">
        <v>165000</v>
      </c>
      <c r="L464" s="97" t="s">
        <v>25</v>
      </c>
      <c r="M464" s="98">
        <v>4.05</v>
      </c>
      <c r="N464" s="99">
        <f t="shared" si="140"/>
        <v>668250</v>
      </c>
      <c r="O464" s="62">
        <f t="shared" si="141"/>
        <v>12375</v>
      </c>
      <c r="Q464" s="100" t="s">
        <v>298</v>
      </c>
      <c r="T464" s="100" t="s">
        <v>298</v>
      </c>
      <c r="AB464" s="41" t="s">
        <v>296</v>
      </c>
    </row>
    <row r="465" spans="1:28" x14ac:dyDescent="0.2">
      <c r="A465" s="91">
        <v>63</v>
      </c>
      <c r="B465" s="91" t="s">
        <v>194</v>
      </c>
      <c r="C465" s="92">
        <v>36790</v>
      </c>
      <c r="D465" s="41" t="s">
        <v>183</v>
      </c>
      <c r="E465" s="41" t="s">
        <v>14</v>
      </c>
      <c r="F465" s="41" t="s">
        <v>21</v>
      </c>
      <c r="G465" s="41" t="s">
        <v>16</v>
      </c>
      <c r="H465" s="93">
        <v>0</v>
      </c>
      <c r="I465" s="94">
        <f t="shared" si="139"/>
        <v>0</v>
      </c>
      <c r="J465" s="95">
        <v>36951</v>
      </c>
      <c r="K465" s="96">
        <v>165000</v>
      </c>
      <c r="L465" s="97" t="s">
        <v>25</v>
      </c>
      <c r="M465" s="98">
        <v>4.05</v>
      </c>
      <c r="N465" s="99">
        <f t="shared" si="140"/>
        <v>668250</v>
      </c>
      <c r="O465" s="62">
        <f t="shared" si="141"/>
        <v>12375</v>
      </c>
      <c r="Q465" s="100" t="s">
        <v>298</v>
      </c>
      <c r="T465" s="100" t="s">
        <v>298</v>
      </c>
      <c r="AB465" s="41" t="s">
        <v>296</v>
      </c>
    </row>
    <row r="466" spans="1:28" x14ac:dyDescent="0.2">
      <c r="A466" s="91">
        <v>63</v>
      </c>
      <c r="B466" s="91" t="s">
        <v>194</v>
      </c>
      <c r="C466" s="92">
        <v>36790</v>
      </c>
      <c r="D466" s="41" t="s">
        <v>183</v>
      </c>
      <c r="E466" s="41" t="s">
        <v>14</v>
      </c>
      <c r="F466" s="41" t="s">
        <v>21</v>
      </c>
      <c r="G466" s="41" t="s">
        <v>16</v>
      </c>
      <c r="H466" s="93">
        <v>0</v>
      </c>
      <c r="I466" s="94">
        <f t="shared" si="139"/>
        <v>0</v>
      </c>
      <c r="J466" s="95">
        <v>36982</v>
      </c>
      <c r="K466" s="96">
        <v>165000</v>
      </c>
      <c r="L466" s="97" t="s">
        <v>25</v>
      </c>
      <c r="M466" s="98">
        <v>4.05</v>
      </c>
      <c r="N466" s="99">
        <f t="shared" si="140"/>
        <v>668250</v>
      </c>
      <c r="O466" s="62">
        <f t="shared" si="141"/>
        <v>12375</v>
      </c>
      <c r="Q466" s="100" t="s">
        <v>298</v>
      </c>
      <c r="T466" s="100" t="s">
        <v>298</v>
      </c>
      <c r="AB466" s="41" t="s">
        <v>296</v>
      </c>
    </row>
    <row r="467" spans="1:28" x14ac:dyDescent="0.2">
      <c r="A467" s="91">
        <v>63</v>
      </c>
      <c r="B467" s="91" t="s">
        <v>194</v>
      </c>
      <c r="C467" s="92">
        <v>36790</v>
      </c>
      <c r="D467" s="41" t="s">
        <v>183</v>
      </c>
      <c r="E467" s="41" t="s">
        <v>14</v>
      </c>
      <c r="F467" s="41" t="s">
        <v>21</v>
      </c>
      <c r="G467" s="41" t="s">
        <v>16</v>
      </c>
      <c r="H467" s="93">
        <v>0</v>
      </c>
      <c r="I467" s="94">
        <f t="shared" si="139"/>
        <v>0</v>
      </c>
      <c r="J467" s="95">
        <v>37012</v>
      </c>
      <c r="K467" s="96">
        <v>165000</v>
      </c>
      <c r="L467" s="97" t="s">
        <v>25</v>
      </c>
      <c r="M467" s="98">
        <v>4.05</v>
      </c>
      <c r="N467" s="99">
        <f t="shared" si="140"/>
        <v>668250</v>
      </c>
      <c r="O467" s="62">
        <f t="shared" si="141"/>
        <v>12375</v>
      </c>
      <c r="Q467" s="100" t="s">
        <v>298</v>
      </c>
      <c r="T467" s="100" t="s">
        <v>298</v>
      </c>
      <c r="AB467" s="41" t="s">
        <v>296</v>
      </c>
    </row>
    <row r="468" spans="1:28" x14ac:dyDescent="0.2">
      <c r="A468" s="91">
        <v>63</v>
      </c>
      <c r="B468" s="91" t="s">
        <v>194</v>
      </c>
      <c r="C468" s="92">
        <v>36790</v>
      </c>
      <c r="D468" s="41" t="s">
        <v>183</v>
      </c>
      <c r="E468" s="41" t="s">
        <v>14</v>
      </c>
      <c r="F468" s="41" t="s">
        <v>21</v>
      </c>
      <c r="G468" s="41" t="s">
        <v>16</v>
      </c>
      <c r="H468" s="93">
        <v>0</v>
      </c>
      <c r="I468" s="94">
        <f t="shared" si="139"/>
        <v>0</v>
      </c>
      <c r="J468" s="95">
        <v>37043</v>
      </c>
      <c r="K468" s="96">
        <v>165000</v>
      </c>
      <c r="L468" s="97" t="s">
        <v>25</v>
      </c>
      <c r="M468" s="98">
        <v>4.05</v>
      </c>
      <c r="N468" s="99">
        <f t="shared" si="140"/>
        <v>668250</v>
      </c>
      <c r="O468" s="62">
        <f t="shared" si="141"/>
        <v>12375</v>
      </c>
      <c r="Q468" s="100" t="s">
        <v>298</v>
      </c>
      <c r="T468" s="100" t="s">
        <v>298</v>
      </c>
      <c r="W468" s="102"/>
      <c r="X468" s="102"/>
      <c r="AB468" s="41" t="s">
        <v>296</v>
      </c>
    </row>
    <row r="469" spans="1:28" x14ac:dyDescent="0.2">
      <c r="A469" s="91">
        <v>63</v>
      </c>
      <c r="B469" s="91" t="s">
        <v>194</v>
      </c>
      <c r="C469" s="92">
        <v>36790</v>
      </c>
      <c r="D469" s="41" t="s">
        <v>183</v>
      </c>
      <c r="E469" s="41" t="s">
        <v>14</v>
      </c>
      <c r="F469" s="41" t="s">
        <v>21</v>
      </c>
      <c r="G469" s="41" t="s">
        <v>16</v>
      </c>
      <c r="H469" s="93">
        <v>0</v>
      </c>
      <c r="I469" s="94">
        <f t="shared" si="139"/>
        <v>0</v>
      </c>
      <c r="J469" s="95">
        <v>37073</v>
      </c>
      <c r="K469" s="96">
        <v>165000</v>
      </c>
      <c r="L469" s="97" t="s">
        <v>25</v>
      </c>
      <c r="M469" s="98">
        <v>4.05</v>
      </c>
      <c r="N469" s="99">
        <f t="shared" si="140"/>
        <v>668250</v>
      </c>
      <c r="O469" s="62">
        <f t="shared" si="141"/>
        <v>12375</v>
      </c>
      <c r="Q469" s="100" t="s">
        <v>298</v>
      </c>
      <c r="T469" s="100" t="s">
        <v>298</v>
      </c>
      <c r="AB469" s="41" t="s">
        <v>296</v>
      </c>
    </row>
    <row r="470" spans="1:28" x14ac:dyDescent="0.2">
      <c r="A470" s="91">
        <v>63</v>
      </c>
      <c r="B470" s="91" t="s">
        <v>194</v>
      </c>
      <c r="C470" s="92">
        <v>36790</v>
      </c>
      <c r="D470" s="41" t="s">
        <v>183</v>
      </c>
      <c r="E470" s="41" t="s">
        <v>14</v>
      </c>
      <c r="F470" s="41" t="s">
        <v>21</v>
      </c>
      <c r="G470" s="41" t="s">
        <v>16</v>
      </c>
      <c r="H470" s="93">
        <v>0</v>
      </c>
      <c r="I470" s="94">
        <f t="shared" si="139"/>
        <v>0</v>
      </c>
      <c r="J470" s="95">
        <v>37104</v>
      </c>
      <c r="K470" s="96">
        <v>165000</v>
      </c>
      <c r="L470" s="97" t="s">
        <v>25</v>
      </c>
      <c r="M470" s="98">
        <v>4.05</v>
      </c>
      <c r="N470" s="99">
        <f t="shared" si="140"/>
        <v>668250</v>
      </c>
      <c r="O470" s="62">
        <f t="shared" si="141"/>
        <v>12375</v>
      </c>
      <c r="Q470" s="100" t="s">
        <v>298</v>
      </c>
      <c r="T470" s="100" t="s">
        <v>298</v>
      </c>
      <c r="AB470" s="41" t="s">
        <v>296</v>
      </c>
    </row>
    <row r="471" spans="1:28" outlineLevel="1" x14ac:dyDescent="0.2">
      <c r="A471" s="91">
        <v>63</v>
      </c>
      <c r="B471" s="91" t="s">
        <v>194</v>
      </c>
      <c r="C471" s="92">
        <v>36790</v>
      </c>
      <c r="D471" s="41" t="s">
        <v>183</v>
      </c>
      <c r="E471" s="41" t="s">
        <v>14</v>
      </c>
      <c r="F471" s="41" t="s">
        <v>21</v>
      </c>
      <c r="G471" s="41" t="s">
        <v>16</v>
      </c>
      <c r="H471" s="93">
        <v>0</v>
      </c>
      <c r="I471" s="94">
        <f t="shared" si="139"/>
        <v>0</v>
      </c>
      <c r="J471" s="95">
        <v>37135</v>
      </c>
      <c r="K471" s="96">
        <v>165000</v>
      </c>
      <c r="L471" s="97" t="s">
        <v>25</v>
      </c>
      <c r="M471" s="98">
        <v>4.05</v>
      </c>
      <c r="N471" s="99">
        <f t="shared" si="140"/>
        <v>668250</v>
      </c>
      <c r="O471" s="62">
        <f t="shared" si="141"/>
        <v>12375</v>
      </c>
      <c r="Q471" s="100" t="s">
        <v>298</v>
      </c>
      <c r="T471" s="100" t="s">
        <v>298</v>
      </c>
      <c r="AB471" s="41" t="s">
        <v>296</v>
      </c>
    </row>
    <row r="472" spans="1:28" outlineLevel="1" x14ac:dyDescent="0.2">
      <c r="A472" s="91">
        <v>63</v>
      </c>
      <c r="B472" s="91" t="s">
        <v>194</v>
      </c>
      <c r="C472" s="92">
        <v>36790</v>
      </c>
      <c r="D472" s="41" t="s">
        <v>183</v>
      </c>
      <c r="E472" s="41" t="s">
        <v>14</v>
      </c>
      <c r="F472" s="41" t="s">
        <v>21</v>
      </c>
      <c r="G472" s="41" t="s">
        <v>16</v>
      </c>
      <c r="H472" s="93">
        <v>0</v>
      </c>
      <c r="I472" s="94">
        <f t="shared" si="139"/>
        <v>0</v>
      </c>
      <c r="J472" s="95">
        <v>37165</v>
      </c>
      <c r="K472" s="96">
        <v>165000</v>
      </c>
      <c r="L472" s="97" t="s">
        <v>25</v>
      </c>
      <c r="M472" s="98">
        <v>4.05</v>
      </c>
      <c r="N472" s="99">
        <f t="shared" si="140"/>
        <v>668250</v>
      </c>
      <c r="O472" s="62">
        <f t="shared" si="141"/>
        <v>12375</v>
      </c>
      <c r="Q472" s="100" t="s">
        <v>298</v>
      </c>
      <c r="T472" s="100" t="s">
        <v>298</v>
      </c>
      <c r="AB472" s="41" t="s">
        <v>296</v>
      </c>
    </row>
    <row r="473" spans="1:28" outlineLevel="1" x14ac:dyDescent="0.2">
      <c r="A473" s="91">
        <v>63</v>
      </c>
      <c r="B473" s="91" t="s">
        <v>194</v>
      </c>
      <c r="C473" s="92">
        <v>36790</v>
      </c>
      <c r="D473" s="41" t="s">
        <v>183</v>
      </c>
      <c r="E473" s="41" t="s">
        <v>14</v>
      </c>
      <c r="F473" s="41" t="s">
        <v>21</v>
      </c>
      <c r="G473" s="41" t="s">
        <v>16</v>
      </c>
      <c r="H473" s="93">
        <v>0</v>
      </c>
      <c r="I473" s="94">
        <f t="shared" si="139"/>
        <v>0</v>
      </c>
      <c r="J473" s="95">
        <v>37196</v>
      </c>
      <c r="K473" s="96">
        <v>165000</v>
      </c>
      <c r="L473" s="97" t="s">
        <v>25</v>
      </c>
      <c r="M473" s="98">
        <v>4.05</v>
      </c>
      <c r="N473" s="99">
        <f t="shared" si="140"/>
        <v>668250</v>
      </c>
      <c r="O473" s="62">
        <f t="shared" si="141"/>
        <v>12375</v>
      </c>
      <c r="Q473" s="100" t="s">
        <v>298</v>
      </c>
      <c r="T473" s="100" t="s">
        <v>298</v>
      </c>
      <c r="AB473" s="41" t="s">
        <v>296</v>
      </c>
    </row>
    <row r="474" spans="1:28" outlineLevel="1" x14ac:dyDescent="0.2">
      <c r="A474" s="91">
        <v>63</v>
      </c>
      <c r="B474" s="91" t="s">
        <v>194</v>
      </c>
      <c r="C474" s="92">
        <v>36790</v>
      </c>
      <c r="D474" s="41" t="s">
        <v>183</v>
      </c>
      <c r="E474" s="41" t="s">
        <v>14</v>
      </c>
      <c r="F474" s="41" t="s">
        <v>21</v>
      </c>
      <c r="G474" s="41" t="s">
        <v>16</v>
      </c>
      <c r="H474" s="93">
        <v>0</v>
      </c>
      <c r="I474" s="94">
        <f t="shared" si="139"/>
        <v>0</v>
      </c>
      <c r="J474" s="95">
        <v>37226</v>
      </c>
      <c r="K474" s="96">
        <v>165000</v>
      </c>
      <c r="L474" s="97" t="s">
        <v>25</v>
      </c>
      <c r="M474" s="98">
        <v>4.05</v>
      </c>
      <c r="N474" s="99">
        <f t="shared" si="140"/>
        <v>668250</v>
      </c>
      <c r="O474" s="62">
        <f t="shared" si="141"/>
        <v>12375</v>
      </c>
      <c r="Q474" s="100" t="s">
        <v>298</v>
      </c>
      <c r="T474" s="100" t="s">
        <v>298</v>
      </c>
      <c r="AB474" s="41" t="s">
        <v>296</v>
      </c>
    </row>
    <row r="475" spans="1:28" outlineLevel="1" x14ac:dyDescent="0.2">
      <c r="A475" s="91">
        <v>63</v>
      </c>
      <c r="B475" s="91" t="s">
        <v>194</v>
      </c>
      <c r="C475" s="92">
        <v>36790</v>
      </c>
      <c r="D475" s="41" t="s">
        <v>183</v>
      </c>
      <c r="E475" s="41" t="s">
        <v>14</v>
      </c>
      <c r="F475" s="41" t="s">
        <v>21</v>
      </c>
      <c r="G475" s="41" t="s">
        <v>16</v>
      </c>
      <c r="H475" s="93">
        <v>0</v>
      </c>
      <c r="I475" s="94">
        <f t="shared" si="139"/>
        <v>0</v>
      </c>
      <c r="J475" s="95">
        <v>37257</v>
      </c>
      <c r="K475" s="96">
        <v>165000</v>
      </c>
      <c r="L475" s="97" t="s">
        <v>25</v>
      </c>
      <c r="M475" s="98">
        <v>4.05</v>
      </c>
      <c r="N475" s="99">
        <f t="shared" si="140"/>
        <v>668250</v>
      </c>
      <c r="O475" s="62">
        <f t="shared" si="141"/>
        <v>12375</v>
      </c>
      <c r="Q475" s="100" t="s">
        <v>298</v>
      </c>
      <c r="T475" s="100" t="s">
        <v>298</v>
      </c>
      <c r="AB475" s="41" t="s">
        <v>296</v>
      </c>
    </row>
    <row r="476" spans="1:28" outlineLevel="1" x14ac:dyDescent="0.2">
      <c r="A476" s="91">
        <v>63</v>
      </c>
      <c r="B476" s="91" t="s">
        <v>194</v>
      </c>
      <c r="C476" s="92">
        <v>36790</v>
      </c>
      <c r="D476" s="41" t="s">
        <v>183</v>
      </c>
      <c r="E476" s="41" t="s">
        <v>14</v>
      </c>
      <c r="F476" s="41" t="s">
        <v>21</v>
      </c>
      <c r="G476" s="41" t="s">
        <v>16</v>
      </c>
      <c r="H476" s="93">
        <v>0</v>
      </c>
      <c r="I476" s="94">
        <f t="shared" si="139"/>
        <v>0</v>
      </c>
      <c r="J476" s="95">
        <v>37288</v>
      </c>
      <c r="K476" s="96">
        <v>165000</v>
      </c>
      <c r="L476" s="97" t="s">
        <v>25</v>
      </c>
      <c r="M476" s="98">
        <v>4.05</v>
      </c>
      <c r="N476" s="99">
        <f t="shared" si="140"/>
        <v>668250</v>
      </c>
      <c r="O476" s="62">
        <f t="shared" si="141"/>
        <v>12375</v>
      </c>
      <c r="Q476" s="100" t="s">
        <v>298</v>
      </c>
      <c r="T476" s="100" t="s">
        <v>298</v>
      </c>
      <c r="AB476" s="41" t="s">
        <v>296</v>
      </c>
    </row>
    <row r="477" spans="1:28" outlineLevel="1" x14ac:dyDescent="0.2">
      <c r="A477" s="91">
        <v>63</v>
      </c>
      <c r="B477" s="91" t="s">
        <v>194</v>
      </c>
      <c r="C477" s="92">
        <v>36790</v>
      </c>
      <c r="D477" s="41" t="s">
        <v>183</v>
      </c>
      <c r="E477" s="41" t="s">
        <v>14</v>
      </c>
      <c r="F477" s="41" t="s">
        <v>21</v>
      </c>
      <c r="G477" s="41" t="s">
        <v>16</v>
      </c>
      <c r="H477" s="93">
        <v>0</v>
      </c>
      <c r="I477" s="94">
        <f t="shared" si="139"/>
        <v>0</v>
      </c>
      <c r="J477" s="95">
        <v>37316</v>
      </c>
      <c r="K477" s="96">
        <v>165000</v>
      </c>
      <c r="L477" s="97" t="s">
        <v>25</v>
      </c>
      <c r="M477" s="98">
        <v>4.05</v>
      </c>
      <c r="N477" s="99">
        <f t="shared" si="140"/>
        <v>668250</v>
      </c>
      <c r="O477" s="62">
        <f t="shared" si="141"/>
        <v>12375</v>
      </c>
      <c r="Q477" s="100" t="s">
        <v>298</v>
      </c>
      <c r="T477" s="100" t="s">
        <v>298</v>
      </c>
      <c r="AB477" s="41" t="s">
        <v>296</v>
      </c>
    </row>
    <row r="478" spans="1:28" outlineLevel="1" x14ac:dyDescent="0.2">
      <c r="A478" s="91">
        <v>63</v>
      </c>
      <c r="B478" s="91" t="s">
        <v>194</v>
      </c>
      <c r="C478" s="92">
        <v>36790</v>
      </c>
      <c r="D478" s="41" t="s">
        <v>183</v>
      </c>
      <c r="E478" s="41" t="s">
        <v>14</v>
      </c>
      <c r="F478" s="41" t="s">
        <v>21</v>
      </c>
      <c r="G478" s="41" t="s">
        <v>16</v>
      </c>
      <c r="H478" s="93">
        <v>0</v>
      </c>
      <c r="I478" s="94">
        <f t="shared" si="139"/>
        <v>0</v>
      </c>
      <c r="J478" s="95">
        <v>37347</v>
      </c>
      <c r="K478" s="96">
        <v>165000</v>
      </c>
      <c r="L478" s="97" t="s">
        <v>25</v>
      </c>
      <c r="M478" s="98">
        <v>4.05</v>
      </c>
      <c r="N478" s="99">
        <f t="shared" si="140"/>
        <v>668250</v>
      </c>
      <c r="O478" s="62">
        <f t="shared" si="141"/>
        <v>12375</v>
      </c>
      <c r="Q478" s="100" t="s">
        <v>298</v>
      </c>
      <c r="T478" s="100" t="s">
        <v>298</v>
      </c>
      <c r="AB478" s="41" t="s">
        <v>296</v>
      </c>
    </row>
    <row r="479" spans="1:28" outlineLevel="1" x14ac:dyDescent="0.2">
      <c r="A479" s="91">
        <v>63</v>
      </c>
      <c r="B479" s="91" t="s">
        <v>194</v>
      </c>
      <c r="C479" s="92">
        <v>36790</v>
      </c>
      <c r="D479" s="41" t="s">
        <v>183</v>
      </c>
      <c r="E479" s="41" t="s">
        <v>14</v>
      </c>
      <c r="F479" s="41" t="s">
        <v>21</v>
      </c>
      <c r="G479" s="41" t="s">
        <v>16</v>
      </c>
      <c r="H479" s="93">
        <v>0</v>
      </c>
      <c r="I479" s="94">
        <f t="shared" si="139"/>
        <v>0</v>
      </c>
      <c r="J479" s="95">
        <v>37377</v>
      </c>
      <c r="K479" s="96">
        <v>165000</v>
      </c>
      <c r="L479" s="97" t="s">
        <v>25</v>
      </c>
      <c r="M479" s="98">
        <v>4.05</v>
      </c>
      <c r="N479" s="99">
        <f t="shared" si="140"/>
        <v>668250</v>
      </c>
      <c r="O479" s="62">
        <f t="shared" si="141"/>
        <v>12375</v>
      </c>
      <c r="Q479" s="100" t="s">
        <v>298</v>
      </c>
      <c r="T479" s="100" t="s">
        <v>298</v>
      </c>
      <c r="AB479" s="41" t="s">
        <v>296</v>
      </c>
    </row>
    <row r="480" spans="1:28" outlineLevel="1" x14ac:dyDescent="0.2">
      <c r="A480" s="91">
        <v>63</v>
      </c>
      <c r="B480" s="91" t="s">
        <v>194</v>
      </c>
      <c r="C480" s="92">
        <v>36790</v>
      </c>
      <c r="D480" s="41" t="s">
        <v>183</v>
      </c>
      <c r="E480" s="41" t="s">
        <v>14</v>
      </c>
      <c r="F480" s="41" t="s">
        <v>21</v>
      </c>
      <c r="G480" s="41" t="s">
        <v>16</v>
      </c>
      <c r="H480" s="93">
        <v>0</v>
      </c>
      <c r="I480" s="94">
        <f t="shared" si="139"/>
        <v>0</v>
      </c>
      <c r="J480" s="95">
        <v>37408</v>
      </c>
      <c r="K480" s="96">
        <v>165000</v>
      </c>
      <c r="L480" s="97" t="s">
        <v>25</v>
      </c>
      <c r="M480" s="98">
        <v>4.05</v>
      </c>
      <c r="N480" s="99">
        <f t="shared" si="140"/>
        <v>668250</v>
      </c>
      <c r="O480" s="62">
        <f t="shared" si="141"/>
        <v>12375</v>
      </c>
      <c r="Q480" s="100" t="s">
        <v>298</v>
      </c>
      <c r="T480" s="100" t="s">
        <v>298</v>
      </c>
      <c r="AB480" s="41" t="s">
        <v>296</v>
      </c>
    </row>
    <row r="481" spans="1:28" outlineLevel="1" x14ac:dyDescent="0.2">
      <c r="A481" s="91">
        <v>63</v>
      </c>
      <c r="B481" s="91" t="s">
        <v>194</v>
      </c>
      <c r="C481" s="92">
        <v>36790</v>
      </c>
      <c r="D481" s="41" t="s">
        <v>183</v>
      </c>
      <c r="E481" s="41" t="s">
        <v>14</v>
      </c>
      <c r="F481" s="41" t="s">
        <v>21</v>
      </c>
      <c r="G481" s="41" t="s">
        <v>16</v>
      </c>
      <c r="H481" s="93">
        <v>0</v>
      </c>
      <c r="I481" s="94">
        <f t="shared" si="139"/>
        <v>0</v>
      </c>
      <c r="J481" s="95">
        <v>37438</v>
      </c>
      <c r="K481" s="96">
        <v>165000</v>
      </c>
      <c r="L481" s="97" t="s">
        <v>25</v>
      </c>
      <c r="M481" s="98">
        <v>4.05</v>
      </c>
      <c r="N481" s="99">
        <f t="shared" si="140"/>
        <v>668250</v>
      </c>
      <c r="O481" s="62">
        <f t="shared" si="141"/>
        <v>12375</v>
      </c>
      <c r="Q481" s="100" t="s">
        <v>298</v>
      </c>
      <c r="T481" s="100" t="s">
        <v>298</v>
      </c>
      <c r="AB481" s="41" t="s">
        <v>296</v>
      </c>
    </row>
    <row r="482" spans="1:28" outlineLevel="1" x14ac:dyDescent="0.2">
      <c r="A482" s="91">
        <v>63</v>
      </c>
      <c r="B482" s="91" t="s">
        <v>194</v>
      </c>
      <c r="C482" s="92">
        <v>36790</v>
      </c>
      <c r="D482" s="41" t="s">
        <v>183</v>
      </c>
      <c r="E482" s="41" t="s">
        <v>14</v>
      </c>
      <c r="F482" s="41" t="s">
        <v>21</v>
      </c>
      <c r="G482" s="41" t="s">
        <v>16</v>
      </c>
      <c r="H482" s="93">
        <v>0</v>
      </c>
      <c r="I482" s="94">
        <f t="shared" si="139"/>
        <v>0</v>
      </c>
      <c r="J482" s="95">
        <v>37469</v>
      </c>
      <c r="K482" s="96">
        <v>165000</v>
      </c>
      <c r="L482" s="97" t="s">
        <v>25</v>
      </c>
      <c r="M482" s="98">
        <v>4.05</v>
      </c>
      <c r="N482" s="99">
        <f t="shared" si="140"/>
        <v>668250</v>
      </c>
      <c r="O482" s="62">
        <f t="shared" si="141"/>
        <v>12375</v>
      </c>
      <c r="Q482" s="100" t="s">
        <v>298</v>
      </c>
      <c r="T482" s="100" t="s">
        <v>298</v>
      </c>
      <c r="AB482" s="41" t="s">
        <v>296</v>
      </c>
    </row>
    <row r="483" spans="1:28" outlineLevel="1" x14ac:dyDescent="0.2">
      <c r="A483" s="91">
        <v>63</v>
      </c>
      <c r="B483" s="91" t="s">
        <v>194</v>
      </c>
      <c r="C483" s="92">
        <v>36790</v>
      </c>
      <c r="D483" s="41" t="s">
        <v>183</v>
      </c>
      <c r="E483" s="41" t="s">
        <v>14</v>
      </c>
      <c r="F483" s="41" t="s">
        <v>21</v>
      </c>
      <c r="G483" s="41" t="s">
        <v>16</v>
      </c>
      <c r="H483" s="93">
        <v>0</v>
      </c>
      <c r="I483" s="94">
        <f t="shared" si="139"/>
        <v>0</v>
      </c>
      <c r="J483" s="95">
        <v>37500</v>
      </c>
      <c r="K483" s="96">
        <v>165000</v>
      </c>
      <c r="L483" s="97" t="s">
        <v>25</v>
      </c>
      <c r="M483" s="98">
        <v>4.05</v>
      </c>
      <c r="N483" s="99">
        <f t="shared" si="140"/>
        <v>668250</v>
      </c>
      <c r="O483" s="62">
        <f t="shared" si="141"/>
        <v>12375</v>
      </c>
      <c r="Q483" s="100" t="s">
        <v>298</v>
      </c>
      <c r="T483" s="100" t="s">
        <v>298</v>
      </c>
      <c r="AB483" s="41" t="s">
        <v>296</v>
      </c>
    </row>
    <row r="484" spans="1:28" outlineLevel="1" x14ac:dyDescent="0.2">
      <c r="A484" s="91">
        <v>63</v>
      </c>
      <c r="B484" s="91" t="s">
        <v>194</v>
      </c>
      <c r="C484" s="92">
        <v>36790</v>
      </c>
      <c r="D484" s="41" t="s">
        <v>183</v>
      </c>
      <c r="E484" s="41" t="s">
        <v>14</v>
      </c>
      <c r="F484" s="41" t="s">
        <v>21</v>
      </c>
      <c r="G484" s="41" t="s">
        <v>16</v>
      </c>
      <c r="H484" s="93">
        <v>0</v>
      </c>
      <c r="I484" s="94">
        <f t="shared" si="139"/>
        <v>0</v>
      </c>
      <c r="J484" s="95">
        <v>37530</v>
      </c>
      <c r="K484" s="96">
        <v>165000</v>
      </c>
      <c r="L484" s="97" t="s">
        <v>25</v>
      </c>
      <c r="M484" s="98">
        <v>4.05</v>
      </c>
      <c r="N484" s="99">
        <f t="shared" si="140"/>
        <v>668250</v>
      </c>
      <c r="O484" s="62">
        <f t="shared" si="141"/>
        <v>12375</v>
      </c>
      <c r="Q484" s="100" t="s">
        <v>298</v>
      </c>
      <c r="T484" s="100" t="s">
        <v>298</v>
      </c>
      <c r="AB484" s="41" t="s">
        <v>296</v>
      </c>
    </row>
    <row r="485" spans="1:28" outlineLevel="1" x14ac:dyDescent="0.2">
      <c r="A485" s="91">
        <v>63</v>
      </c>
      <c r="B485" s="91" t="s">
        <v>194</v>
      </c>
      <c r="C485" s="92">
        <v>36790</v>
      </c>
      <c r="D485" s="41" t="s">
        <v>183</v>
      </c>
      <c r="E485" s="41" t="s">
        <v>14</v>
      </c>
      <c r="F485" s="41" t="s">
        <v>21</v>
      </c>
      <c r="G485" s="41" t="s">
        <v>16</v>
      </c>
      <c r="H485" s="93">
        <v>0</v>
      </c>
      <c r="I485" s="94">
        <f t="shared" si="139"/>
        <v>0</v>
      </c>
      <c r="J485" s="95">
        <v>37561</v>
      </c>
      <c r="K485" s="96">
        <v>165000</v>
      </c>
      <c r="L485" s="97" t="s">
        <v>25</v>
      </c>
      <c r="M485" s="98">
        <v>4.05</v>
      </c>
      <c r="N485" s="99">
        <f t="shared" si="140"/>
        <v>668250</v>
      </c>
      <c r="O485" s="62">
        <f t="shared" si="141"/>
        <v>12375</v>
      </c>
      <c r="Q485" s="100" t="s">
        <v>298</v>
      </c>
      <c r="T485" s="100" t="s">
        <v>298</v>
      </c>
      <c r="AB485" s="41" t="s">
        <v>296</v>
      </c>
    </row>
    <row r="486" spans="1:28" outlineLevel="1" x14ac:dyDescent="0.2">
      <c r="A486" s="91">
        <v>63</v>
      </c>
      <c r="B486" s="91" t="s">
        <v>194</v>
      </c>
      <c r="C486" s="92">
        <v>36790</v>
      </c>
      <c r="D486" s="41" t="s">
        <v>183</v>
      </c>
      <c r="E486" s="41" t="s">
        <v>14</v>
      </c>
      <c r="F486" s="41" t="s">
        <v>21</v>
      </c>
      <c r="G486" s="41" t="s">
        <v>16</v>
      </c>
      <c r="H486" s="93">
        <v>0</v>
      </c>
      <c r="I486" s="94">
        <f t="shared" si="139"/>
        <v>0</v>
      </c>
      <c r="J486" s="95">
        <v>37591</v>
      </c>
      <c r="K486" s="96">
        <v>165000</v>
      </c>
      <c r="L486" s="97" t="s">
        <v>25</v>
      </c>
      <c r="M486" s="98">
        <v>4.05</v>
      </c>
      <c r="N486" s="99">
        <f t="shared" si="140"/>
        <v>668250</v>
      </c>
      <c r="O486" s="62">
        <f t="shared" si="141"/>
        <v>12375</v>
      </c>
      <c r="Q486" s="100" t="s">
        <v>298</v>
      </c>
      <c r="T486" s="100" t="s">
        <v>298</v>
      </c>
      <c r="AB486" s="41" t="s">
        <v>296</v>
      </c>
    </row>
    <row r="487" spans="1:28" outlineLevel="1" x14ac:dyDescent="0.2">
      <c r="A487" s="91">
        <v>63</v>
      </c>
      <c r="B487" s="91" t="s">
        <v>194</v>
      </c>
      <c r="C487" s="92">
        <v>36790</v>
      </c>
      <c r="D487" s="41" t="s">
        <v>183</v>
      </c>
      <c r="E487" s="41" t="s">
        <v>14</v>
      </c>
      <c r="F487" s="41" t="s">
        <v>21</v>
      </c>
      <c r="G487" s="41" t="s">
        <v>16</v>
      </c>
      <c r="H487" s="93">
        <v>0</v>
      </c>
      <c r="I487" s="94">
        <f t="shared" si="139"/>
        <v>0</v>
      </c>
      <c r="J487" s="95">
        <v>37622</v>
      </c>
      <c r="K487" s="96">
        <v>165000</v>
      </c>
      <c r="L487" s="97" t="s">
        <v>25</v>
      </c>
      <c r="M487" s="98">
        <v>4.05</v>
      </c>
      <c r="N487" s="99">
        <f t="shared" si="140"/>
        <v>668250</v>
      </c>
      <c r="O487" s="62">
        <f t="shared" si="141"/>
        <v>12375</v>
      </c>
      <c r="Q487" s="100" t="s">
        <v>298</v>
      </c>
      <c r="T487" s="100" t="s">
        <v>298</v>
      </c>
      <c r="AB487" s="41" t="s">
        <v>296</v>
      </c>
    </row>
    <row r="488" spans="1:28" outlineLevel="1" x14ac:dyDescent="0.2">
      <c r="A488" s="91">
        <v>63</v>
      </c>
      <c r="B488" s="91" t="s">
        <v>194</v>
      </c>
      <c r="C488" s="92">
        <v>36790</v>
      </c>
      <c r="D488" s="41" t="s">
        <v>183</v>
      </c>
      <c r="E488" s="41" t="s">
        <v>14</v>
      </c>
      <c r="F488" s="41" t="s">
        <v>21</v>
      </c>
      <c r="G488" s="41" t="s">
        <v>16</v>
      </c>
      <c r="H488" s="93">
        <v>0</v>
      </c>
      <c r="I488" s="94">
        <f t="shared" si="139"/>
        <v>0</v>
      </c>
      <c r="J488" s="95">
        <v>37653</v>
      </c>
      <c r="K488" s="96">
        <v>165000</v>
      </c>
      <c r="L488" s="97" t="s">
        <v>25</v>
      </c>
      <c r="M488" s="98">
        <v>4.05</v>
      </c>
      <c r="N488" s="99">
        <f t="shared" si="140"/>
        <v>668250</v>
      </c>
      <c r="O488" s="62">
        <f t="shared" si="141"/>
        <v>12375</v>
      </c>
      <c r="Q488" s="100" t="s">
        <v>298</v>
      </c>
      <c r="T488" s="100" t="s">
        <v>298</v>
      </c>
      <c r="AB488" s="41" t="s">
        <v>296</v>
      </c>
    </row>
    <row r="489" spans="1:28" outlineLevel="1" x14ac:dyDescent="0.2">
      <c r="A489" s="91">
        <v>63</v>
      </c>
      <c r="B489" s="91" t="s">
        <v>194</v>
      </c>
      <c r="C489" s="92">
        <v>36790</v>
      </c>
      <c r="D489" s="41" t="s">
        <v>183</v>
      </c>
      <c r="E489" s="41" t="s">
        <v>14</v>
      </c>
      <c r="F489" s="41" t="s">
        <v>21</v>
      </c>
      <c r="G489" s="41" t="s">
        <v>16</v>
      </c>
      <c r="H489" s="93">
        <v>0</v>
      </c>
      <c r="I489" s="94">
        <f t="shared" si="139"/>
        <v>0</v>
      </c>
      <c r="J489" s="95">
        <v>37681</v>
      </c>
      <c r="K489" s="96">
        <v>165000</v>
      </c>
      <c r="L489" s="97" t="s">
        <v>25</v>
      </c>
      <c r="M489" s="98">
        <v>4.05</v>
      </c>
      <c r="N489" s="99">
        <f t="shared" si="140"/>
        <v>668250</v>
      </c>
      <c r="O489" s="62">
        <f t="shared" si="141"/>
        <v>12375</v>
      </c>
      <c r="Q489" s="100" t="s">
        <v>298</v>
      </c>
      <c r="T489" s="100" t="s">
        <v>298</v>
      </c>
      <c r="AB489" s="41" t="s">
        <v>296</v>
      </c>
    </row>
    <row r="490" spans="1:28" outlineLevel="1" x14ac:dyDescent="0.2">
      <c r="A490" s="91">
        <v>63</v>
      </c>
      <c r="B490" s="91" t="s">
        <v>194</v>
      </c>
      <c r="C490" s="92">
        <v>36790</v>
      </c>
      <c r="D490" s="41" t="s">
        <v>183</v>
      </c>
      <c r="E490" s="41" t="s">
        <v>14</v>
      </c>
      <c r="F490" s="41" t="s">
        <v>21</v>
      </c>
      <c r="G490" s="41" t="s">
        <v>16</v>
      </c>
      <c r="H490" s="93">
        <v>0</v>
      </c>
      <c r="I490" s="94">
        <f t="shared" si="139"/>
        <v>0</v>
      </c>
      <c r="J490" s="95">
        <v>37712</v>
      </c>
      <c r="K490" s="96">
        <v>165000</v>
      </c>
      <c r="L490" s="97" t="s">
        <v>25</v>
      </c>
      <c r="M490" s="98">
        <v>4.05</v>
      </c>
      <c r="N490" s="99">
        <f t="shared" si="140"/>
        <v>668250</v>
      </c>
      <c r="O490" s="62">
        <f t="shared" si="141"/>
        <v>12375</v>
      </c>
      <c r="Q490" s="100" t="s">
        <v>298</v>
      </c>
      <c r="T490" s="100" t="s">
        <v>298</v>
      </c>
      <c r="AB490" s="41" t="s">
        <v>296</v>
      </c>
    </row>
    <row r="491" spans="1:28" outlineLevel="1" x14ac:dyDescent="0.2">
      <c r="A491" s="91">
        <v>63</v>
      </c>
      <c r="B491" s="91" t="s">
        <v>194</v>
      </c>
      <c r="C491" s="92">
        <v>36790</v>
      </c>
      <c r="D491" s="41" t="s">
        <v>183</v>
      </c>
      <c r="E491" s="41" t="s">
        <v>14</v>
      </c>
      <c r="F491" s="41" t="s">
        <v>21</v>
      </c>
      <c r="G491" s="41" t="s">
        <v>16</v>
      </c>
      <c r="H491" s="93">
        <v>0</v>
      </c>
      <c r="I491" s="94">
        <f t="shared" si="139"/>
        <v>0</v>
      </c>
      <c r="J491" s="95">
        <v>37742</v>
      </c>
      <c r="K491" s="96">
        <v>165000</v>
      </c>
      <c r="L491" s="97" t="s">
        <v>25</v>
      </c>
      <c r="M491" s="98">
        <v>4.05</v>
      </c>
      <c r="N491" s="99">
        <f t="shared" si="140"/>
        <v>668250</v>
      </c>
      <c r="O491" s="62">
        <f t="shared" si="141"/>
        <v>12375</v>
      </c>
      <c r="Q491" s="100" t="s">
        <v>298</v>
      </c>
      <c r="T491" s="100" t="s">
        <v>298</v>
      </c>
      <c r="AB491" s="41" t="s">
        <v>296</v>
      </c>
    </row>
    <row r="492" spans="1:28" outlineLevel="1" x14ac:dyDescent="0.2">
      <c r="A492" s="91">
        <v>63</v>
      </c>
      <c r="B492" s="91" t="s">
        <v>194</v>
      </c>
      <c r="C492" s="92">
        <v>36790</v>
      </c>
      <c r="D492" s="41" t="s">
        <v>183</v>
      </c>
      <c r="E492" s="41" t="s">
        <v>14</v>
      </c>
      <c r="F492" s="41" t="s">
        <v>21</v>
      </c>
      <c r="G492" s="41" t="s">
        <v>16</v>
      </c>
      <c r="H492" s="93">
        <v>0</v>
      </c>
      <c r="I492" s="94">
        <f t="shared" ref="I492:I519" si="142">+H492*K492</f>
        <v>0</v>
      </c>
      <c r="J492" s="95">
        <v>37773</v>
      </c>
      <c r="K492" s="96">
        <v>165000</v>
      </c>
      <c r="L492" s="97" t="s">
        <v>25</v>
      </c>
      <c r="M492" s="98">
        <v>4.05</v>
      </c>
      <c r="N492" s="99">
        <f t="shared" ref="N492:N519" si="143">K492*M492</f>
        <v>668250</v>
      </c>
      <c r="O492" s="62">
        <f t="shared" ref="O492:O519" si="144">0.075*K492</f>
        <v>12375</v>
      </c>
      <c r="Q492" s="100" t="s">
        <v>298</v>
      </c>
      <c r="T492" s="100" t="s">
        <v>298</v>
      </c>
      <c r="AB492" s="41" t="s">
        <v>296</v>
      </c>
    </row>
    <row r="493" spans="1:28" outlineLevel="1" x14ac:dyDescent="0.2">
      <c r="A493" s="91">
        <v>63</v>
      </c>
      <c r="B493" s="91" t="s">
        <v>194</v>
      </c>
      <c r="C493" s="92">
        <v>36790</v>
      </c>
      <c r="D493" s="41" t="s">
        <v>183</v>
      </c>
      <c r="E493" s="41" t="s">
        <v>14</v>
      </c>
      <c r="F493" s="41" t="s">
        <v>21</v>
      </c>
      <c r="G493" s="41" t="s">
        <v>16</v>
      </c>
      <c r="H493" s="93">
        <v>0</v>
      </c>
      <c r="I493" s="94">
        <f t="shared" si="142"/>
        <v>0</v>
      </c>
      <c r="J493" s="95">
        <v>37803</v>
      </c>
      <c r="K493" s="96">
        <v>165000</v>
      </c>
      <c r="L493" s="97" t="s">
        <v>25</v>
      </c>
      <c r="M493" s="98">
        <v>4.05</v>
      </c>
      <c r="N493" s="99">
        <f t="shared" si="143"/>
        <v>668250</v>
      </c>
      <c r="O493" s="62">
        <f t="shared" si="144"/>
        <v>12375</v>
      </c>
      <c r="Q493" s="100" t="s">
        <v>298</v>
      </c>
      <c r="T493" s="100" t="s">
        <v>298</v>
      </c>
      <c r="AB493" s="41" t="s">
        <v>296</v>
      </c>
    </row>
    <row r="494" spans="1:28" outlineLevel="1" x14ac:dyDescent="0.2">
      <c r="A494" s="91">
        <v>63</v>
      </c>
      <c r="B494" s="91" t="s">
        <v>194</v>
      </c>
      <c r="C494" s="92">
        <v>36790</v>
      </c>
      <c r="D494" s="41" t="s">
        <v>183</v>
      </c>
      <c r="E494" s="41" t="s">
        <v>14</v>
      </c>
      <c r="F494" s="41" t="s">
        <v>21</v>
      </c>
      <c r="G494" s="41" t="s">
        <v>16</v>
      </c>
      <c r="H494" s="93">
        <v>0</v>
      </c>
      <c r="I494" s="94">
        <f t="shared" si="142"/>
        <v>0</v>
      </c>
      <c r="J494" s="95">
        <v>37834</v>
      </c>
      <c r="K494" s="96">
        <v>165000</v>
      </c>
      <c r="L494" s="97" t="s">
        <v>25</v>
      </c>
      <c r="M494" s="98">
        <v>4.05</v>
      </c>
      <c r="N494" s="99">
        <f t="shared" si="143"/>
        <v>668250</v>
      </c>
      <c r="O494" s="62">
        <f t="shared" si="144"/>
        <v>12375</v>
      </c>
      <c r="Q494" s="100" t="s">
        <v>298</v>
      </c>
      <c r="T494" s="100" t="s">
        <v>298</v>
      </c>
      <c r="AB494" s="41" t="s">
        <v>296</v>
      </c>
    </row>
    <row r="495" spans="1:28" outlineLevel="1" x14ac:dyDescent="0.2">
      <c r="A495" s="91">
        <v>63</v>
      </c>
      <c r="B495" s="91" t="s">
        <v>194</v>
      </c>
      <c r="C495" s="92">
        <v>36790</v>
      </c>
      <c r="D495" s="41" t="s">
        <v>183</v>
      </c>
      <c r="E495" s="41" t="s">
        <v>14</v>
      </c>
      <c r="F495" s="41" t="s">
        <v>21</v>
      </c>
      <c r="G495" s="41" t="s">
        <v>16</v>
      </c>
      <c r="H495" s="93">
        <v>0</v>
      </c>
      <c r="I495" s="94">
        <f t="shared" si="142"/>
        <v>0</v>
      </c>
      <c r="J495" s="95">
        <v>37865</v>
      </c>
      <c r="K495" s="96">
        <v>165000</v>
      </c>
      <c r="L495" s="97" t="s">
        <v>25</v>
      </c>
      <c r="M495" s="98">
        <v>4.05</v>
      </c>
      <c r="N495" s="99">
        <f t="shared" si="143"/>
        <v>668250</v>
      </c>
      <c r="O495" s="62">
        <f t="shared" si="144"/>
        <v>12375</v>
      </c>
      <c r="Q495" s="100" t="s">
        <v>298</v>
      </c>
      <c r="T495" s="100" t="s">
        <v>298</v>
      </c>
      <c r="AB495" s="41" t="s">
        <v>296</v>
      </c>
    </row>
    <row r="496" spans="1:28" outlineLevel="1" x14ac:dyDescent="0.2">
      <c r="A496" s="91">
        <v>63</v>
      </c>
      <c r="B496" s="91" t="s">
        <v>194</v>
      </c>
      <c r="C496" s="92">
        <v>36790</v>
      </c>
      <c r="D496" s="41" t="s">
        <v>183</v>
      </c>
      <c r="E496" s="41" t="s">
        <v>14</v>
      </c>
      <c r="F496" s="41" t="s">
        <v>21</v>
      </c>
      <c r="G496" s="41" t="s">
        <v>16</v>
      </c>
      <c r="H496" s="93">
        <v>0</v>
      </c>
      <c r="I496" s="94">
        <f t="shared" si="142"/>
        <v>0</v>
      </c>
      <c r="J496" s="95">
        <v>37895</v>
      </c>
      <c r="K496" s="96">
        <v>165000</v>
      </c>
      <c r="L496" s="97" t="s">
        <v>25</v>
      </c>
      <c r="M496" s="98">
        <v>4.05</v>
      </c>
      <c r="N496" s="99">
        <f t="shared" si="143"/>
        <v>668250</v>
      </c>
      <c r="O496" s="62">
        <f t="shared" si="144"/>
        <v>12375</v>
      </c>
      <c r="Q496" s="100" t="s">
        <v>298</v>
      </c>
      <c r="T496" s="100" t="s">
        <v>298</v>
      </c>
      <c r="AB496" s="41" t="s">
        <v>296</v>
      </c>
    </row>
    <row r="497" spans="1:28" outlineLevel="1" x14ac:dyDescent="0.2">
      <c r="A497" s="91">
        <v>63</v>
      </c>
      <c r="B497" s="91" t="s">
        <v>194</v>
      </c>
      <c r="C497" s="92">
        <v>36790</v>
      </c>
      <c r="D497" s="41" t="s">
        <v>183</v>
      </c>
      <c r="E497" s="41" t="s">
        <v>14</v>
      </c>
      <c r="F497" s="41" t="s">
        <v>21</v>
      </c>
      <c r="G497" s="41" t="s">
        <v>16</v>
      </c>
      <c r="H497" s="93">
        <v>0</v>
      </c>
      <c r="I497" s="94">
        <f t="shared" si="142"/>
        <v>0</v>
      </c>
      <c r="J497" s="95">
        <v>37926</v>
      </c>
      <c r="K497" s="96">
        <v>165000</v>
      </c>
      <c r="L497" s="97" t="s">
        <v>25</v>
      </c>
      <c r="M497" s="98">
        <v>4.05</v>
      </c>
      <c r="N497" s="99">
        <f t="shared" si="143"/>
        <v>668250</v>
      </c>
      <c r="O497" s="62">
        <f t="shared" si="144"/>
        <v>12375</v>
      </c>
      <c r="Q497" s="100" t="s">
        <v>298</v>
      </c>
      <c r="T497" s="100" t="s">
        <v>298</v>
      </c>
      <c r="AB497" s="41" t="s">
        <v>296</v>
      </c>
    </row>
    <row r="498" spans="1:28" outlineLevel="1" x14ac:dyDescent="0.2">
      <c r="A498" s="91">
        <v>63</v>
      </c>
      <c r="B498" s="91" t="s">
        <v>194</v>
      </c>
      <c r="C498" s="92">
        <v>36790</v>
      </c>
      <c r="D498" s="41" t="s">
        <v>183</v>
      </c>
      <c r="E498" s="41" t="s">
        <v>14</v>
      </c>
      <c r="F498" s="41" t="s">
        <v>21</v>
      </c>
      <c r="G498" s="41" t="s">
        <v>16</v>
      </c>
      <c r="H498" s="93">
        <v>0</v>
      </c>
      <c r="I498" s="94">
        <f t="shared" si="142"/>
        <v>0</v>
      </c>
      <c r="J498" s="95">
        <v>37956</v>
      </c>
      <c r="K498" s="96">
        <v>165000</v>
      </c>
      <c r="L498" s="97" t="s">
        <v>25</v>
      </c>
      <c r="M498" s="98">
        <v>4.05</v>
      </c>
      <c r="N498" s="99">
        <f t="shared" si="143"/>
        <v>668250</v>
      </c>
      <c r="O498" s="62">
        <f t="shared" si="144"/>
        <v>12375</v>
      </c>
      <c r="Q498" s="100" t="s">
        <v>298</v>
      </c>
      <c r="T498" s="100" t="s">
        <v>298</v>
      </c>
      <c r="AB498" s="41" t="s">
        <v>296</v>
      </c>
    </row>
    <row r="499" spans="1:28" outlineLevel="1" x14ac:dyDescent="0.2">
      <c r="A499" s="91">
        <v>63</v>
      </c>
      <c r="B499" s="91" t="s">
        <v>194</v>
      </c>
      <c r="C499" s="92">
        <v>36790</v>
      </c>
      <c r="D499" s="41" t="s">
        <v>183</v>
      </c>
      <c r="E499" s="41" t="s">
        <v>14</v>
      </c>
      <c r="F499" s="41" t="s">
        <v>21</v>
      </c>
      <c r="G499" s="41" t="s">
        <v>16</v>
      </c>
      <c r="H499" s="93">
        <v>0</v>
      </c>
      <c r="I499" s="94">
        <f t="shared" si="142"/>
        <v>0</v>
      </c>
      <c r="J499" s="95">
        <v>37987</v>
      </c>
      <c r="K499" s="96">
        <v>165000</v>
      </c>
      <c r="L499" s="97" t="s">
        <v>25</v>
      </c>
      <c r="M499" s="98">
        <v>4.05</v>
      </c>
      <c r="N499" s="99">
        <f t="shared" si="143"/>
        <v>668250</v>
      </c>
      <c r="O499" s="62">
        <f t="shared" si="144"/>
        <v>12375</v>
      </c>
      <c r="Q499" s="100" t="s">
        <v>298</v>
      </c>
      <c r="T499" s="100" t="s">
        <v>298</v>
      </c>
      <c r="AB499" s="41" t="s">
        <v>296</v>
      </c>
    </row>
    <row r="500" spans="1:28" outlineLevel="1" x14ac:dyDescent="0.2">
      <c r="A500" s="91">
        <v>63</v>
      </c>
      <c r="B500" s="91" t="s">
        <v>194</v>
      </c>
      <c r="C500" s="92">
        <v>36790</v>
      </c>
      <c r="D500" s="41" t="s">
        <v>183</v>
      </c>
      <c r="E500" s="41" t="s">
        <v>14</v>
      </c>
      <c r="F500" s="41" t="s">
        <v>21</v>
      </c>
      <c r="G500" s="41" t="s">
        <v>16</v>
      </c>
      <c r="H500" s="93">
        <v>0</v>
      </c>
      <c r="I500" s="94">
        <f t="shared" si="142"/>
        <v>0</v>
      </c>
      <c r="J500" s="95">
        <v>38018</v>
      </c>
      <c r="K500" s="96">
        <v>165000</v>
      </c>
      <c r="L500" s="97" t="s">
        <v>25</v>
      </c>
      <c r="M500" s="98">
        <v>4.05</v>
      </c>
      <c r="N500" s="99">
        <f t="shared" si="143"/>
        <v>668250</v>
      </c>
      <c r="O500" s="62">
        <f t="shared" si="144"/>
        <v>12375</v>
      </c>
      <c r="Q500" s="100" t="s">
        <v>298</v>
      </c>
      <c r="T500" s="100" t="s">
        <v>298</v>
      </c>
      <c r="AB500" s="41" t="s">
        <v>296</v>
      </c>
    </row>
    <row r="501" spans="1:28" outlineLevel="1" x14ac:dyDescent="0.2">
      <c r="A501" s="91">
        <v>63</v>
      </c>
      <c r="B501" s="91" t="s">
        <v>194</v>
      </c>
      <c r="C501" s="92">
        <v>36790</v>
      </c>
      <c r="D501" s="41" t="s">
        <v>183</v>
      </c>
      <c r="E501" s="41" t="s">
        <v>14</v>
      </c>
      <c r="F501" s="41" t="s">
        <v>21</v>
      </c>
      <c r="G501" s="41" t="s">
        <v>16</v>
      </c>
      <c r="H501" s="93">
        <v>0</v>
      </c>
      <c r="I501" s="94">
        <f t="shared" si="142"/>
        <v>0</v>
      </c>
      <c r="J501" s="95">
        <v>38047</v>
      </c>
      <c r="K501" s="96">
        <v>165000</v>
      </c>
      <c r="L501" s="97" t="s">
        <v>25</v>
      </c>
      <c r="M501" s="98">
        <v>4.05</v>
      </c>
      <c r="N501" s="99">
        <f t="shared" si="143"/>
        <v>668250</v>
      </c>
      <c r="O501" s="62">
        <f t="shared" si="144"/>
        <v>12375</v>
      </c>
      <c r="Q501" s="100" t="s">
        <v>298</v>
      </c>
      <c r="T501" s="100" t="s">
        <v>298</v>
      </c>
      <c r="AB501" s="41" t="s">
        <v>296</v>
      </c>
    </row>
    <row r="502" spans="1:28" outlineLevel="1" x14ac:dyDescent="0.2">
      <c r="A502" s="91">
        <v>63</v>
      </c>
      <c r="B502" s="91" t="s">
        <v>194</v>
      </c>
      <c r="C502" s="92">
        <v>36790</v>
      </c>
      <c r="D502" s="41" t="s">
        <v>183</v>
      </c>
      <c r="E502" s="41" t="s">
        <v>14</v>
      </c>
      <c r="F502" s="41" t="s">
        <v>21</v>
      </c>
      <c r="G502" s="41" t="s">
        <v>16</v>
      </c>
      <c r="H502" s="93">
        <v>0</v>
      </c>
      <c r="I502" s="94">
        <f t="shared" si="142"/>
        <v>0</v>
      </c>
      <c r="J502" s="95">
        <v>38078</v>
      </c>
      <c r="K502" s="96">
        <v>165000</v>
      </c>
      <c r="L502" s="97" t="s">
        <v>25</v>
      </c>
      <c r="M502" s="98">
        <v>4.05</v>
      </c>
      <c r="N502" s="99">
        <f t="shared" si="143"/>
        <v>668250</v>
      </c>
      <c r="O502" s="62">
        <f t="shared" si="144"/>
        <v>12375</v>
      </c>
      <c r="Q502" s="100" t="s">
        <v>298</v>
      </c>
      <c r="T502" s="100" t="s">
        <v>298</v>
      </c>
      <c r="AB502" s="41" t="s">
        <v>296</v>
      </c>
    </row>
    <row r="503" spans="1:28" outlineLevel="1" x14ac:dyDescent="0.2">
      <c r="A503" s="91">
        <v>63</v>
      </c>
      <c r="B503" s="91" t="s">
        <v>194</v>
      </c>
      <c r="C503" s="92">
        <v>36790</v>
      </c>
      <c r="D503" s="41" t="s">
        <v>183</v>
      </c>
      <c r="E503" s="41" t="s">
        <v>14</v>
      </c>
      <c r="F503" s="41" t="s">
        <v>21</v>
      </c>
      <c r="G503" s="41" t="s">
        <v>16</v>
      </c>
      <c r="H503" s="93">
        <v>0</v>
      </c>
      <c r="I503" s="94">
        <f t="shared" si="142"/>
        <v>0</v>
      </c>
      <c r="J503" s="95">
        <v>38108</v>
      </c>
      <c r="K503" s="96">
        <v>165000</v>
      </c>
      <c r="L503" s="97" t="s">
        <v>25</v>
      </c>
      <c r="M503" s="98">
        <v>4.05</v>
      </c>
      <c r="N503" s="99">
        <f t="shared" si="143"/>
        <v>668250</v>
      </c>
      <c r="O503" s="62">
        <f t="shared" si="144"/>
        <v>12375</v>
      </c>
      <c r="Q503" s="100" t="s">
        <v>298</v>
      </c>
      <c r="T503" s="100" t="s">
        <v>298</v>
      </c>
      <c r="AB503" s="41" t="s">
        <v>296</v>
      </c>
    </row>
    <row r="504" spans="1:28" outlineLevel="1" x14ac:dyDescent="0.2">
      <c r="A504" s="91">
        <v>63</v>
      </c>
      <c r="B504" s="91" t="s">
        <v>194</v>
      </c>
      <c r="C504" s="92">
        <v>36790</v>
      </c>
      <c r="D504" s="41" t="s">
        <v>183</v>
      </c>
      <c r="E504" s="41" t="s">
        <v>14</v>
      </c>
      <c r="F504" s="41" t="s">
        <v>21</v>
      </c>
      <c r="G504" s="41" t="s">
        <v>16</v>
      </c>
      <c r="H504" s="93">
        <v>0</v>
      </c>
      <c r="I504" s="94">
        <f t="shared" si="142"/>
        <v>0</v>
      </c>
      <c r="J504" s="95">
        <v>38139</v>
      </c>
      <c r="K504" s="96">
        <v>165000</v>
      </c>
      <c r="L504" s="97" t="s">
        <v>25</v>
      </c>
      <c r="M504" s="98">
        <v>4.05</v>
      </c>
      <c r="N504" s="99">
        <f t="shared" si="143"/>
        <v>668250</v>
      </c>
      <c r="O504" s="62">
        <f t="shared" si="144"/>
        <v>12375</v>
      </c>
      <c r="Q504" s="100" t="s">
        <v>298</v>
      </c>
      <c r="T504" s="100" t="s">
        <v>298</v>
      </c>
      <c r="AB504" s="41" t="s">
        <v>296</v>
      </c>
    </row>
    <row r="505" spans="1:28" outlineLevel="1" x14ac:dyDescent="0.2">
      <c r="A505" s="91">
        <v>63</v>
      </c>
      <c r="B505" s="91" t="s">
        <v>194</v>
      </c>
      <c r="C505" s="92">
        <v>36790</v>
      </c>
      <c r="D505" s="41" t="s">
        <v>183</v>
      </c>
      <c r="E505" s="41" t="s">
        <v>14</v>
      </c>
      <c r="F505" s="41" t="s">
        <v>21</v>
      </c>
      <c r="G505" s="41" t="s">
        <v>16</v>
      </c>
      <c r="H505" s="93">
        <v>0</v>
      </c>
      <c r="I505" s="94">
        <f t="shared" si="142"/>
        <v>0</v>
      </c>
      <c r="J505" s="95">
        <v>38169</v>
      </c>
      <c r="K505" s="96">
        <v>165000</v>
      </c>
      <c r="L505" s="97" t="s">
        <v>25</v>
      </c>
      <c r="M505" s="98">
        <v>4.05</v>
      </c>
      <c r="N505" s="99">
        <f t="shared" si="143"/>
        <v>668250</v>
      </c>
      <c r="O505" s="62">
        <f t="shared" si="144"/>
        <v>12375</v>
      </c>
      <c r="Q505" s="100" t="s">
        <v>298</v>
      </c>
      <c r="T505" s="100" t="s">
        <v>298</v>
      </c>
      <c r="AB505" s="41" t="s">
        <v>296</v>
      </c>
    </row>
    <row r="506" spans="1:28" outlineLevel="1" x14ac:dyDescent="0.2">
      <c r="A506" s="91">
        <v>63</v>
      </c>
      <c r="B506" s="91" t="s">
        <v>194</v>
      </c>
      <c r="C506" s="92">
        <v>36790</v>
      </c>
      <c r="D506" s="41" t="s">
        <v>183</v>
      </c>
      <c r="E506" s="41" t="s">
        <v>14</v>
      </c>
      <c r="F506" s="41" t="s">
        <v>21</v>
      </c>
      <c r="G506" s="41" t="s">
        <v>16</v>
      </c>
      <c r="H506" s="93">
        <v>0</v>
      </c>
      <c r="I506" s="94">
        <f t="shared" si="142"/>
        <v>0</v>
      </c>
      <c r="J506" s="95">
        <v>38200</v>
      </c>
      <c r="K506" s="96">
        <v>165000</v>
      </c>
      <c r="L506" s="97" t="s">
        <v>25</v>
      </c>
      <c r="M506" s="98">
        <v>4.05</v>
      </c>
      <c r="N506" s="99">
        <f t="shared" si="143"/>
        <v>668250</v>
      </c>
      <c r="O506" s="62">
        <f t="shared" si="144"/>
        <v>12375</v>
      </c>
      <c r="Q506" s="100" t="s">
        <v>298</v>
      </c>
      <c r="T506" s="100" t="s">
        <v>298</v>
      </c>
      <c r="AB506" s="41" t="s">
        <v>296</v>
      </c>
    </row>
    <row r="507" spans="1:28" outlineLevel="1" x14ac:dyDescent="0.2">
      <c r="A507" s="91">
        <v>63</v>
      </c>
      <c r="B507" s="91" t="s">
        <v>194</v>
      </c>
      <c r="C507" s="92">
        <v>36790</v>
      </c>
      <c r="D507" s="41" t="s">
        <v>183</v>
      </c>
      <c r="E507" s="41" t="s">
        <v>14</v>
      </c>
      <c r="F507" s="41" t="s">
        <v>21</v>
      </c>
      <c r="G507" s="41" t="s">
        <v>16</v>
      </c>
      <c r="H507" s="93">
        <v>0</v>
      </c>
      <c r="I507" s="94">
        <f t="shared" si="142"/>
        <v>0</v>
      </c>
      <c r="J507" s="95">
        <v>38231</v>
      </c>
      <c r="K507" s="96">
        <v>165000</v>
      </c>
      <c r="L507" s="97" t="s">
        <v>25</v>
      </c>
      <c r="M507" s="98">
        <v>4.05</v>
      </c>
      <c r="N507" s="99">
        <f t="shared" si="143"/>
        <v>668250</v>
      </c>
      <c r="O507" s="62">
        <f t="shared" si="144"/>
        <v>12375</v>
      </c>
      <c r="Q507" s="100" t="s">
        <v>298</v>
      </c>
      <c r="T507" s="100" t="s">
        <v>298</v>
      </c>
      <c r="AB507" s="41" t="s">
        <v>296</v>
      </c>
    </row>
    <row r="508" spans="1:28" outlineLevel="1" x14ac:dyDescent="0.2">
      <c r="A508" s="91">
        <v>63</v>
      </c>
      <c r="B508" s="91" t="s">
        <v>194</v>
      </c>
      <c r="C508" s="92">
        <v>36790</v>
      </c>
      <c r="D508" s="41" t="s">
        <v>183</v>
      </c>
      <c r="E508" s="41" t="s">
        <v>14</v>
      </c>
      <c r="F508" s="41" t="s">
        <v>21</v>
      </c>
      <c r="G508" s="41" t="s">
        <v>16</v>
      </c>
      <c r="H508" s="93">
        <v>0</v>
      </c>
      <c r="I508" s="94">
        <f t="shared" si="142"/>
        <v>0</v>
      </c>
      <c r="J508" s="95">
        <v>38261</v>
      </c>
      <c r="K508" s="96">
        <v>165000</v>
      </c>
      <c r="L508" s="97" t="s">
        <v>25</v>
      </c>
      <c r="M508" s="98">
        <v>4.05</v>
      </c>
      <c r="N508" s="99">
        <f t="shared" si="143"/>
        <v>668250</v>
      </c>
      <c r="O508" s="62">
        <f t="shared" si="144"/>
        <v>12375</v>
      </c>
      <c r="Q508" s="100" t="s">
        <v>298</v>
      </c>
      <c r="T508" s="100" t="s">
        <v>298</v>
      </c>
      <c r="AB508" s="41" t="s">
        <v>296</v>
      </c>
    </row>
    <row r="509" spans="1:28" outlineLevel="1" x14ac:dyDescent="0.2">
      <c r="A509" s="91">
        <v>63</v>
      </c>
      <c r="B509" s="91" t="s">
        <v>194</v>
      </c>
      <c r="C509" s="92">
        <v>36790</v>
      </c>
      <c r="D509" s="41" t="s">
        <v>183</v>
      </c>
      <c r="E509" s="41" t="s">
        <v>14</v>
      </c>
      <c r="F509" s="41" t="s">
        <v>21</v>
      </c>
      <c r="G509" s="41" t="s">
        <v>16</v>
      </c>
      <c r="H509" s="93">
        <v>0</v>
      </c>
      <c r="I509" s="94">
        <f t="shared" si="142"/>
        <v>0</v>
      </c>
      <c r="J509" s="95">
        <v>38292</v>
      </c>
      <c r="K509" s="96">
        <v>165000</v>
      </c>
      <c r="L509" s="97" t="s">
        <v>25</v>
      </c>
      <c r="M509" s="98">
        <v>4.05</v>
      </c>
      <c r="N509" s="99">
        <f t="shared" si="143"/>
        <v>668250</v>
      </c>
      <c r="O509" s="62">
        <f t="shared" si="144"/>
        <v>12375</v>
      </c>
      <c r="Q509" s="100" t="s">
        <v>298</v>
      </c>
      <c r="T509" s="100" t="s">
        <v>298</v>
      </c>
      <c r="AB509" s="41" t="s">
        <v>296</v>
      </c>
    </row>
    <row r="510" spans="1:28" outlineLevel="1" x14ac:dyDescent="0.2">
      <c r="A510" s="91">
        <v>63</v>
      </c>
      <c r="B510" s="91" t="s">
        <v>194</v>
      </c>
      <c r="C510" s="92">
        <v>36790</v>
      </c>
      <c r="D510" s="41" t="s">
        <v>183</v>
      </c>
      <c r="E510" s="41" t="s">
        <v>14</v>
      </c>
      <c r="F510" s="41" t="s">
        <v>21</v>
      </c>
      <c r="G510" s="41" t="s">
        <v>16</v>
      </c>
      <c r="H510" s="93">
        <v>0</v>
      </c>
      <c r="I510" s="94">
        <f t="shared" si="142"/>
        <v>0</v>
      </c>
      <c r="J510" s="95">
        <v>38322</v>
      </c>
      <c r="K510" s="96">
        <v>165000</v>
      </c>
      <c r="L510" s="97" t="s">
        <v>25</v>
      </c>
      <c r="M510" s="98">
        <v>4.05</v>
      </c>
      <c r="N510" s="99">
        <f t="shared" si="143"/>
        <v>668250</v>
      </c>
      <c r="O510" s="62">
        <f t="shared" si="144"/>
        <v>12375</v>
      </c>
      <c r="Q510" s="100" t="s">
        <v>298</v>
      </c>
      <c r="T510" s="100" t="s">
        <v>298</v>
      </c>
      <c r="AB510" s="41" t="s">
        <v>296</v>
      </c>
    </row>
    <row r="511" spans="1:28" outlineLevel="1" x14ac:dyDescent="0.2">
      <c r="A511" s="91">
        <v>63</v>
      </c>
      <c r="B511" s="91" t="s">
        <v>194</v>
      </c>
      <c r="C511" s="92">
        <v>36790</v>
      </c>
      <c r="D511" s="41" t="s">
        <v>183</v>
      </c>
      <c r="E511" s="41" t="s">
        <v>14</v>
      </c>
      <c r="F511" s="41" t="s">
        <v>21</v>
      </c>
      <c r="G511" s="41" t="s">
        <v>16</v>
      </c>
      <c r="H511" s="93">
        <v>0</v>
      </c>
      <c r="I511" s="94">
        <f t="shared" si="142"/>
        <v>0</v>
      </c>
      <c r="J511" s="95">
        <v>38353</v>
      </c>
      <c r="K511" s="96">
        <v>165000</v>
      </c>
      <c r="L511" s="97" t="s">
        <v>25</v>
      </c>
      <c r="M511" s="98">
        <v>4.05</v>
      </c>
      <c r="N511" s="99">
        <f t="shared" si="143"/>
        <v>668250</v>
      </c>
      <c r="O511" s="62">
        <f t="shared" si="144"/>
        <v>12375</v>
      </c>
      <c r="Q511" s="100" t="s">
        <v>298</v>
      </c>
      <c r="T511" s="100" t="s">
        <v>298</v>
      </c>
      <c r="AB511" s="41" t="s">
        <v>296</v>
      </c>
    </row>
    <row r="512" spans="1:28" outlineLevel="1" x14ac:dyDescent="0.2">
      <c r="A512" s="91">
        <v>63</v>
      </c>
      <c r="B512" s="91" t="s">
        <v>194</v>
      </c>
      <c r="C512" s="92">
        <v>36790</v>
      </c>
      <c r="D512" s="41" t="s">
        <v>183</v>
      </c>
      <c r="E512" s="41" t="s">
        <v>14</v>
      </c>
      <c r="F512" s="41" t="s">
        <v>21</v>
      </c>
      <c r="G512" s="41" t="s">
        <v>16</v>
      </c>
      <c r="H512" s="93">
        <v>0</v>
      </c>
      <c r="I512" s="94">
        <f t="shared" si="142"/>
        <v>0</v>
      </c>
      <c r="J512" s="95">
        <v>38384</v>
      </c>
      <c r="K512" s="96">
        <v>165000</v>
      </c>
      <c r="L512" s="97" t="s">
        <v>25</v>
      </c>
      <c r="M512" s="98">
        <v>4.05</v>
      </c>
      <c r="N512" s="99">
        <f t="shared" si="143"/>
        <v>668250</v>
      </c>
      <c r="O512" s="62">
        <f t="shared" si="144"/>
        <v>12375</v>
      </c>
      <c r="Q512" s="100" t="s">
        <v>298</v>
      </c>
      <c r="T512" s="100" t="s">
        <v>298</v>
      </c>
      <c r="AB512" s="41" t="s">
        <v>296</v>
      </c>
    </row>
    <row r="513" spans="1:28" outlineLevel="1" x14ac:dyDescent="0.2">
      <c r="A513" s="91">
        <v>63</v>
      </c>
      <c r="B513" s="91" t="s">
        <v>194</v>
      </c>
      <c r="C513" s="92">
        <v>36790</v>
      </c>
      <c r="D513" s="41" t="s">
        <v>183</v>
      </c>
      <c r="E513" s="41" t="s">
        <v>14</v>
      </c>
      <c r="F513" s="41" t="s">
        <v>21</v>
      </c>
      <c r="G513" s="41" t="s">
        <v>16</v>
      </c>
      <c r="H513" s="93">
        <v>0</v>
      </c>
      <c r="I513" s="94">
        <f t="shared" si="142"/>
        <v>0</v>
      </c>
      <c r="J513" s="95">
        <v>38412</v>
      </c>
      <c r="K513" s="96">
        <v>165000</v>
      </c>
      <c r="L513" s="97" t="s">
        <v>25</v>
      </c>
      <c r="M513" s="98">
        <v>4.05</v>
      </c>
      <c r="N513" s="99">
        <f t="shared" si="143"/>
        <v>668250</v>
      </c>
      <c r="O513" s="62">
        <f t="shared" si="144"/>
        <v>12375</v>
      </c>
      <c r="Q513" s="100" t="s">
        <v>298</v>
      </c>
      <c r="T513" s="100" t="s">
        <v>298</v>
      </c>
      <c r="AB513" s="41" t="s">
        <v>296</v>
      </c>
    </row>
    <row r="514" spans="1:28" outlineLevel="1" x14ac:dyDescent="0.2">
      <c r="A514" s="91">
        <v>63</v>
      </c>
      <c r="B514" s="91" t="s">
        <v>194</v>
      </c>
      <c r="C514" s="92">
        <v>36790</v>
      </c>
      <c r="D514" s="41" t="s">
        <v>183</v>
      </c>
      <c r="E514" s="41" t="s">
        <v>14</v>
      </c>
      <c r="F514" s="41" t="s">
        <v>21</v>
      </c>
      <c r="G514" s="41" t="s">
        <v>16</v>
      </c>
      <c r="H514" s="93">
        <v>0</v>
      </c>
      <c r="I514" s="94">
        <f t="shared" si="142"/>
        <v>0</v>
      </c>
      <c r="J514" s="95">
        <v>38443</v>
      </c>
      <c r="K514" s="96">
        <v>165000</v>
      </c>
      <c r="L514" s="97" t="s">
        <v>25</v>
      </c>
      <c r="M514" s="98">
        <v>4.05</v>
      </c>
      <c r="N514" s="99">
        <f t="shared" si="143"/>
        <v>668250</v>
      </c>
      <c r="O514" s="62">
        <f t="shared" si="144"/>
        <v>12375</v>
      </c>
      <c r="Q514" s="100" t="s">
        <v>298</v>
      </c>
      <c r="T514" s="100" t="s">
        <v>298</v>
      </c>
      <c r="AB514" s="41" t="s">
        <v>296</v>
      </c>
    </row>
    <row r="515" spans="1:28" outlineLevel="1" x14ac:dyDescent="0.2">
      <c r="A515" s="91">
        <v>63</v>
      </c>
      <c r="B515" s="91" t="s">
        <v>194</v>
      </c>
      <c r="C515" s="92">
        <v>36790</v>
      </c>
      <c r="D515" s="41" t="s">
        <v>183</v>
      </c>
      <c r="E515" s="41" t="s">
        <v>14</v>
      </c>
      <c r="F515" s="41" t="s">
        <v>21</v>
      </c>
      <c r="G515" s="41" t="s">
        <v>16</v>
      </c>
      <c r="H515" s="93">
        <v>0</v>
      </c>
      <c r="I515" s="94">
        <f t="shared" si="142"/>
        <v>0</v>
      </c>
      <c r="J515" s="95">
        <v>38473</v>
      </c>
      <c r="K515" s="96">
        <v>165000</v>
      </c>
      <c r="L515" s="97" t="s">
        <v>25</v>
      </c>
      <c r="M515" s="98">
        <v>4.05</v>
      </c>
      <c r="N515" s="99">
        <f t="shared" si="143"/>
        <v>668250</v>
      </c>
      <c r="O515" s="62">
        <f t="shared" si="144"/>
        <v>12375</v>
      </c>
      <c r="Q515" s="100" t="s">
        <v>298</v>
      </c>
      <c r="T515" s="100" t="s">
        <v>298</v>
      </c>
      <c r="AB515" s="41" t="s">
        <v>296</v>
      </c>
    </row>
    <row r="516" spans="1:28" outlineLevel="1" x14ac:dyDescent="0.2">
      <c r="A516" s="91">
        <v>63</v>
      </c>
      <c r="B516" s="91" t="s">
        <v>194</v>
      </c>
      <c r="C516" s="92">
        <v>36790</v>
      </c>
      <c r="D516" s="41" t="s">
        <v>183</v>
      </c>
      <c r="E516" s="41" t="s">
        <v>14</v>
      </c>
      <c r="F516" s="41" t="s">
        <v>21</v>
      </c>
      <c r="G516" s="41" t="s">
        <v>16</v>
      </c>
      <c r="H516" s="93">
        <v>0</v>
      </c>
      <c r="I516" s="94">
        <f t="shared" si="142"/>
        <v>0</v>
      </c>
      <c r="J516" s="95">
        <v>38504</v>
      </c>
      <c r="K516" s="96">
        <v>165000</v>
      </c>
      <c r="L516" s="97" t="s">
        <v>25</v>
      </c>
      <c r="M516" s="98">
        <v>4.05</v>
      </c>
      <c r="N516" s="99">
        <f t="shared" si="143"/>
        <v>668250</v>
      </c>
      <c r="O516" s="62">
        <f t="shared" si="144"/>
        <v>12375</v>
      </c>
      <c r="Q516" s="100" t="s">
        <v>298</v>
      </c>
      <c r="T516" s="100" t="s">
        <v>298</v>
      </c>
      <c r="AB516" s="41" t="s">
        <v>296</v>
      </c>
    </row>
    <row r="517" spans="1:28" x14ac:dyDescent="0.2">
      <c r="A517" s="91">
        <v>63</v>
      </c>
      <c r="B517" s="91" t="s">
        <v>194</v>
      </c>
      <c r="C517" s="92">
        <v>36790</v>
      </c>
      <c r="D517" s="41" t="s">
        <v>183</v>
      </c>
      <c r="E517" s="41" t="s">
        <v>14</v>
      </c>
      <c r="F517" s="41" t="s">
        <v>21</v>
      </c>
      <c r="G517" s="41" t="s">
        <v>16</v>
      </c>
      <c r="H517" s="93">
        <v>0</v>
      </c>
      <c r="I517" s="94">
        <f t="shared" si="142"/>
        <v>0</v>
      </c>
      <c r="J517" s="95">
        <v>38534</v>
      </c>
      <c r="K517" s="96">
        <v>165000</v>
      </c>
      <c r="L517" s="97" t="s">
        <v>25</v>
      </c>
      <c r="M517" s="98">
        <v>4.05</v>
      </c>
      <c r="N517" s="99">
        <f t="shared" si="143"/>
        <v>668250</v>
      </c>
      <c r="O517" s="62">
        <f t="shared" si="144"/>
        <v>12375</v>
      </c>
      <c r="Q517" s="100" t="s">
        <v>298</v>
      </c>
      <c r="T517" s="100" t="s">
        <v>298</v>
      </c>
      <c r="AB517" s="41" t="s">
        <v>296</v>
      </c>
    </row>
    <row r="518" spans="1:28" x14ac:dyDescent="0.2">
      <c r="A518" s="91">
        <v>63</v>
      </c>
      <c r="B518" s="91" t="s">
        <v>194</v>
      </c>
      <c r="C518" s="92">
        <v>36790</v>
      </c>
      <c r="D518" s="41" t="s">
        <v>183</v>
      </c>
      <c r="E518" s="41" t="s">
        <v>14</v>
      </c>
      <c r="F518" s="41" t="s">
        <v>21</v>
      </c>
      <c r="G518" s="41" t="s">
        <v>16</v>
      </c>
      <c r="H518" s="93">
        <v>0</v>
      </c>
      <c r="I518" s="94">
        <f t="shared" si="142"/>
        <v>0</v>
      </c>
      <c r="J518" s="95">
        <v>38565</v>
      </c>
      <c r="K518" s="96">
        <v>165000</v>
      </c>
      <c r="L518" s="97" t="s">
        <v>25</v>
      </c>
      <c r="M518" s="98">
        <v>4.05</v>
      </c>
      <c r="N518" s="99">
        <f t="shared" si="143"/>
        <v>668250</v>
      </c>
      <c r="O518" s="62">
        <f t="shared" si="144"/>
        <v>12375</v>
      </c>
      <c r="Q518" s="100" t="s">
        <v>298</v>
      </c>
      <c r="T518" s="100" t="s">
        <v>298</v>
      </c>
      <c r="AB518" s="41" t="s">
        <v>296</v>
      </c>
    </row>
    <row r="519" spans="1:28" x14ac:dyDescent="0.2">
      <c r="A519" s="91">
        <v>63</v>
      </c>
      <c r="B519" s="91" t="s">
        <v>194</v>
      </c>
      <c r="C519" s="92">
        <v>36790</v>
      </c>
      <c r="D519" s="41" t="s">
        <v>183</v>
      </c>
      <c r="E519" s="41" t="s">
        <v>14</v>
      </c>
      <c r="F519" s="41" t="s">
        <v>21</v>
      </c>
      <c r="G519" s="41" t="s">
        <v>16</v>
      </c>
      <c r="H519" s="93">
        <v>0</v>
      </c>
      <c r="I519" s="94">
        <f t="shared" si="142"/>
        <v>0</v>
      </c>
      <c r="J519" s="95">
        <v>38596</v>
      </c>
      <c r="K519" s="96">
        <v>165000</v>
      </c>
      <c r="L519" s="97" t="s">
        <v>25</v>
      </c>
      <c r="M519" s="98">
        <v>4.05</v>
      </c>
      <c r="N519" s="99">
        <f t="shared" si="143"/>
        <v>668250</v>
      </c>
      <c r="O519" s="62">
        <f t="shared" si="144"/>
        <v>12375</v>
      </c>
      <c r="Q519" s="100" t="s">
        <v>298</v>
      </c>
      <c r="T519" s="100" t="s">
        <v>298</v>
      </c>
      <c r="AB519" s="41" t="s">
        <v>296</v>
      </c>
    </row>
    <row r="520" spans="1:28" x14ac:dyDescent="0.2">
      <c r="G520" s="41" t="s">
        <v>187</v>
      </c>
      <c r="J520" s="95"/>
      <c r="M520" s="98"/>
      <c r="O520" s="62">
        <v>-400000</v>
      </c>
    </row>
    <row r="522" spans="1:28" x14ac:dyDescent="0.2">
      <c r="A522" s="91">
        <v>64</v>
      </c>
      <c r="B522" s="91" t="s">
        <v>193</v>
      </c>
      <c r="C522" s="92">
        <v>36795</v>
      </c>
      <c r="D522" s="41" t="s">
        <v>185</v>
      </c>
      <c r="E522" s="41" t="s">
        <v>14</v>
      </c>
      <c r="F522" s="41" t="s">
        <v>15</v>
      </c>
      <c r="G522" s="41" t="s">
        <v>74</v>
      </c>
      <c r="H522" s="93">
        <v>0</v>
      </c>
      <c r="I522" s="94">
        <f t="shared" ref="I522:I533" si="145">+H522*K522</f>
        <v>0</v>
      </c>
      <c r="J522" s="95">
        <v>36800</v>
      </c>
      <c r="K522" s="96">
        <v>11000</v>
      </c>
      <c r="L522" s="97" t="s">
        <v>25</v>
      </c>
      <c r="M522" s="93">
        <v>4.78</v>
      </c>
      <c r="N522" s="99">
        <f t="shared" ref="N522:N533" si="146">K522*M522</f>
        <v>52580</v>
      </c>
      <c r="O522" s="62">
        <f t="shared" ref="O522:O527" si="147">0.015*K522</f>
        <v>165</v>
      </c>
      <c r="Q522" s="100">
        <v>5.1050000000000004</v>
      </c>
      <c r="T522" s="62">
        <f>(M522-Q522)*K522</f>
        <v>-3575.0000000000018</v>
      </c>
      <c r="Y522" s="41" t="s">
        <v>60</v>
      </c>
      <c r="AB522" s="41" t="s">
        <v>296</v>
      </c>
    </row>
    <row r="523" spans="1:28" x14ac:dyDescent="0.2">
      <c r="A523" s="91">
        <v>64</v>
      </c>
      <c r="B523" s="91" t="s">
        <v>193</v>
      </c>
      <c r="C523" s="92">
        <v>36795</v>
      </c>
      <c r="D523" s="41" t="s">
        <v>185</v>
      </c>
      <c r="E523" s="41" t="s">
        <v>14</v>
      </c>
      <c r="F523" s="41" t="s">
        <v>15</v>
      </c>
      <c r="G523" s="41" t="s">
        <v>74</v>
      </c>
      <c r="H523" s="93">
        <v>0</v>
      </c>
      <c r="I523" s="94">
        <f t="shared" si="145"/>
        <v>0</v>
      </c>
      <c r="J523" s="95">
        <v>36831</v>
      </c>
      <c r="K523" s="96">
        <v>11000</v>
      </c>
      <c r="L523" s="97" t="s">
        <v>25</v>
      </c>
      <c r="M523" s="93">
        <v>4.78</v>
      </c>
      <c r="N523" s="99">
        <f t="shared" si="146"/>
        <v>52580</v>
      </c>
      <c r="O523" s="62">
        <f t="shared" si="147"/>
        <v>165</v>
      </c>
      <c r="Q523" s="100">
        <v>4.3099999999999996</v>
      </c>
      <c r="T523" s="62">
        <f>(M523-Q523)*K523</f>
        <v>5170.0000000000073</v>
      </c>
      <c r="AB523" s="41" t="s">
        <v>296</v>
      </c>
    </row>
    <row r="524" spans="1:28" x14ac:dyDescent="0.2">
      <c r="A524" s="91">
        <v>64</v>
      </c>
      <c r="B524" s="91" t="s">
        <v>193</v>
      </c>
      <c r="C524" s="92">
        <v>36795</v>
      </c>
      <c r="D524" s="41" t="s">
        <v>185</v>
      </c>
      <c r="E524" s="41" t="s">
        <v>14</v>
      </c>
      <c r="F524" s="41" t="s">
        <v>15</v>
      </c>
      <c r="G524" s="41" t="s">
        <v>74</v>
      </c>
      <c r="H524" s="93">
        <v>0</v>
      </c>
      <c r="I524" s="94">
        <f t="shared" si="145"/>
        <v>0</v>
      </c>
      <c r="J524" s="95">
        <v>36861</v>
      </c>
      <c r="K524" s="96">
        <v>11000</v>
      </c>
      <c r="L524" s="97" t="s">
        <v>25</v>
      </c>
      <c r="M524" s="93">
        <v>4.78</v>
      </c>
      <c r="N524" s="99">
        <f t="shared" si="146"/>
        <v>52580</v>
      </c>
      <c r="O524" s="62">
        <f t="shared" si="147"/>
        <v>165</v>
      </c>
      <c r="Q524" s="100">
        <v>5.7750000000000004</v>
      </c>
      <c r="T524" s="62">
        <f>(M524-Q524)*K524</f>
        <v>-10945.000000000002</v>
      </c>
      <c r="AB524" s="41" t="s">
        <v>296</v>
      </c>
    </row>
    <row r="525" spans="1:28" x14ac:dyDescent="0.2">
      <c r="A525" s="91">
        <v>64</v>
      </c>
      <c r="B525" s="91" t="s">
        <v>193</v>
      </c>
      <c r="C525" s="92">
        <v>36795</v>
      </c>
      <c r="D525" s="41" t="s">
        <v>185</v>
      </c>
      <c r="E525" s="41" t="s">
        <v>14</v>
      </c>
      <c r="F525" s="41" t="s">
        <v>15</v>
      </c>
      <c r="G525" s="41" t="s">
        <v>74</v>
      </c>
      <c r="H525" s="93">
        <v>0</v>
      </c>
      <c r="I525" s="94">
        <f t="shared" si="145"/>
        <v>0</v>
      </c>
      <c r="J525" s="95">
        <v>36892</v>
      </c>
      <c r="K525" s="96">
        <v>11000</v>
      </c>
      <c r="L525" s="97" t="s">
        <v>25</v>
      </c>
      <c r="M525" s="93">
        <v>4.78</v>
      </c>
      <c r="N525" s="99">
        <f t="shared" si="146"/>
        <v>52580</v>
      </c>
      <c r="O525" s="62">
        <f t="shared" si="147"/>
        <v>165</v>
      </c>
      <c r="Q525" s="100">
        <v>9.5649999999999995</v>
      </c>
      <c r="T525" s="62">
        <f>(M525-Q525)*K525</f>
        <v>-52634.999999999993</v>
      </c>
      <c r="AB525" s="41" t="s">
        <v>296</v>
      </c>
    </row>
    <row r="526" spans="1:28" x14ac:dyDescent="0.2">
      <c r="A526" s="91">
        <v>64</v>
      </c>
      <c r="B526" s="91" t="s">
        <v>193</v>
      </c>
      <c r="C526" s="92">
        <v>36795</v>
      </c>
      <c r="D526" s="41" t="s">
        <v>185</v>
      </c>
      <c r="E526" s="41" t="s">
        <v>14</v>
      </c>
      <c r="F526" s="41" t="s">
        <v>15</v>
      </c>
      <c r="G526" s="41" t="s">
        <v>74</v>
      </c>
      <c r="H526" s="93">
        <v>0</v>
      </c>
      <c r="I526" s="94">
        <f t="shared" si="145"/>
        <v>0</v>
      </c>
      <c r="J526" s="95">
        <v>36923</v>
      </c>
      <c r="K526" s="96">
        <v>11000</v>
      </c>
      <c r="L526" s="97" t="s">
        <v>25</v>
      </c>
      <c r="M526" s="93">
        <v>4.78</v>
      </c>
      <c r="N526" s="99">
        <f t="shared" si="146"/>
        <v>52580</v>
      </c>
      <c r="O526" s="62">
        <f t="shared" si="147"/>
        <v>165</v>
      </c>
      <c r="AB526" s="41" t="s">
        <v>296</v>
      </c>
    </row>
    <row r="527" spans="1:28" x14ac:dyDescent="0.2">
      <c r="A527" s="91">
        <v>64</v>
      </c>
      <c r="B527" s="91" t="s">
        <v>193</v>
      </c>
      <c r="C527" s="92">
        <v>36795</v>
      </c>
      <c r="D527" s="41" t="s">
        <v>185</v>
      </c>
      <c r="E527" s="41" t="s">
        <v>14</v>
      </c>
      <c r="F527" s="41" t="s">
        <v>15</v>
      </c>
      <c r="G527" s="41" t="s">
        <v>74</v>
      </c>
      <c r="H527" s="93">
        <v>0</v>
      </c>
      <c r="I527" s="94">
        <f t="shared" si="145"/>
        <v>0</v>
      </c>
      <c r="J527" s="95">
        <v>36951</v>
      </c>
      <c r="K527" s="96">
        <v>11000</v>
      </c>
      <c r="L527" s="97" t="s">
        <v>25</v>
      </c>
      <c r="M527" s="93">
        <v>4.78</v>
      </c>
      <c r="N527" s="99">
        <f t="shared" si="146"/>
        <v>52580</v>
      </c>
      <c r="O527" s="62">
        <f t="shared" si="147"/>
        <v>165</v>
      </c>
      <c r="AB527" s="41" t="s">
        <v>296</v>
      </c>
    </row>
    <row r="528" spans="1:28" x14ac:dyDescent="0.2">
      <c r="A528" s="91">
        <v>64</v>
      </c>
      <c r="B528" s="91" t="s">
        <v>193</v>
      </c>
      <c r="C528" s="92">
        <v>36795</v>
      </c>
      <c r="D528" s="41" t="s">
        <v>185</v>
      </c>
      <c r="E528" s="41" t="s">
        <v>14</v>
      </c>
      <c r="F528" s="41" t="s">
        <v>15</v>
      </c>
      <c r="G528" s="41" t="s">
        <v>75</v>
      </c>
      <c r="I528" s="94">
        <f t="shared" si="145"/>
        <v>0</v>
      </c>
      <c r="J528" s="95">
        <v>36982</v>
      </c>
      <c r="K528" s="96">
        <v>11000</v>
      </c>
      <c r="L528" s="97" t="s">
        <v>25</v>
      </c>
      <c r="M528" s="93">
        <v>4.78</v>
      </c>
      <c r="N528" s="99">
        <f t="shared" si="146"/>
        <v>52580</v>
      </c>
      <c r="O528" s="62">
        <v>0</v>
      </c>
      <c r="AB528" s="41" t="s">
        <v>296</v>
      </c>
    </row>
    <row r="529" spans="1:28" x14ac:dyDescent="0.2">
      <c r="A529" s="91">
        <v>64</v>
      </c>
      <c r="B529" s="91" t="s">
        <v>193</v>
      </c>
      <c r="C529" s="92">
        <v>36795</v>
      </c>
      <c r="D529" s="41" t="s">
        <v>185</v>
      </c>
      <c r="E529" s="41" t="s">
        <v>14</v>
      </c>
      <c r="F529" s="41" t="s">
        <v>15</v>
      </c>
      <c r="G529" s="41" t="s">
        <v>75</v>
      </c>
      <c r="I529" s="94">
        <f t="shared" si="145"/>
        <v>0</v>
      </c>
      <c r="J529" s="95">
        <v>37012</v>
      </c>
      <c r="K529" s="96">
        <v>11000</v>
      </c>
      <c r="L529" s="97" t="s">
        <v>25</v>
      </c>
      <c r="M529" s="93">
        <v>4.78</v>
      </c>
      <c r="N529" s="99">
        <f t="shared" si="146"/>
        <v>52580</v>
      </c>
      <c r="O529" s="62">
        <v>0</v>
      </c>
      <c r="AB529" s="41" t="s">
        <v>296</v>
      </c>
    </row>
    <row r="530" spans="1:28" x14ac:dyDescent="0.2">
      <c r="A530" s="91">
        <v>64</v>
      </c>
      <c r="B530" s="91" t="s">
        <v>193</v>
      </c>
      <c r="C530" s="92">
        <v>36795</v>
      </c>
      <c r="D530" s="41" t="s">
        <v>185</v>
      </c>
      <c r="E530" s="41" t="s">
        <v>14</v>
      </c>
      <c r="F530" s="41" t="s">
        <v>15</v>
      </c>
      <c r="G530" s="41" t="s">
        <v>75</v>
      </c>
      <c r="I530" s="94">
        <f t="shared" si="145"/>
        <v>0</v>
      </c>
      <c r="J530" s="95">
        <v>37043</v>
      </c>
      <c r="K530" s="96">
        <v>11000</v>
      </c>
      <c r="L530" s="97" t="s">
        <v>25</v>
      </c>
      <c r="M530" s="93">
        <v>4.78</v>
      </c>
      <c r="N530" s="99">
        <f t="shared" si="146"/>
        <v>52580</v>
      </c>
      <c r="O530" s="62">
        <v>0</v>
      </c>
      <c r="AB530" s="41" t="s">
        <v>296</v>
      </c>
    </row>
    <row r="531" spans="1:28" x14ac:dyDescent="0.2">
      <c r="A531" s="91">
        <v>64</v>
      </c>
      <c r="B531" s="91" t="s">
        <v>193</v>
      </c>
      <c r="C531" s="92">
        <v>36795</v>
      </c>
      <c r="D531" s="41" t="s">
        <v>185</v>
      </c>
      <c r="E531" s="41" t="s">
        <v>14</v>
      </c>
      <c r="F531" s="41" t="s">
        <v>15</v>
      </c>
      <c r="G531" s="41" t="s">
        <v>75</v>
      </c>
      <c r="I531" s="94">
        <f t="shared" si="145"/>
        <v>0</v>
      </c>
      <c r="J531" s="95">
        <v>37073</v>
      </c>
      <c r="K531" s="96">
        <v>11000</v>
      </c>
      <c r="L531" s="97" t="s">
        <v>25</v>
      </c>
      <c r="M531" s="93">
        <v>4.78</v>
      </c>
      <c r="N531" s="99">
        <f t="shared" si="146"/>
        <v>52580</v>
      </c>
      <c r="O531" s="62">
        <v>0</v>
      </c>
      <c r="AB531" s="41" t="s">
        <v>296</v>
      </c>
    </row>
    <row r="532" spans="1:28" x14ac:dyDescent="0.2">
      <c r="A532" s="91">
        <v>64</v>
      </c>
      <c r="B532" s="91" t="s">
        <v>193</v>
      </c>
      <c r="C532" s="92">
        <v>36795</v>
      </c>
      <c r="D532" s="41" t="s">
        <v>185</v>
      </c>
      <c r="E532" s="41" t="s">
        <v>14</v>
      </c>
      <c r="F532" s="41" t="s">
        <v>15</v>
      </c>
      <c r="G532" s="41" t="s">
        <v>75</v>
      </c>
      <c r="I532" s="94">
        <f t="shared" si="145"/>
        <v>0</v>
      </c>
      <c r="J532" s="95">
        <v>37104</v>
      </c>
      <c r="K532" s="96">
        <v>11000</v>
      </c>
      <c r="L532" s="97" t="s">
        <v>25</v>
      </c>
      <c r="M532" s="93">
        <v>4.78</v>
      </c>
      <c r="N532" s="99">
        <f t="shared" si="146"/>
        <v>52580</v>
      </c>
      <c r="O532" s="62">
        <v>0</v>
      </c>
      <c r="AB532" s="41" t="s">
        <v>296</v>
      </c>
    </row>
    <row r="533" spans="1:28" x14ac:dyDescent="0.2">
      <c r="A533" s="91">
        <v>64</v>
      </c>
      <c r="B533" s="91" t="s">
        <v>193</v>
      </c>
      <c r="C533" s="92">
        <v>36795</v>
      </c>
      <c r="D533" s="41" t="s">
        <v>185</v>
      </c>
      <c r="E533" s="41" t="s">
        <v>14</v>
      </c>
      <c r="F533" s="41" t="s">
        <v>15</v>
      </c>
      <c r="G533" s="41" t="s">
        <v>75</v>
      </c>
      <c r="I533" s="94">
        <f t="shared" si="145"/>
        <v>0</v>
      </c>
      <c r="J533" s="95">
        <v>37135</v>
      </c>
      <c r="K533" s="96">
        <v>11000</v>
      </c>
      <c r="L533" s="97" t="s">
        <v>25</v>
      </c>
      <c r="M533" s="93">
        <v>4.78</v>
      </c>
      <c r="N533" s="99">
        <f t="shared" si="146"/>
        <v>52580</v>
      </c>
      <c r="O533" s="62">
        <v>0</v>
      </c>
      <c r="AB533" s="41" t="s">
        <v>296</v>
      </c>
    </row>
    <row r="535" spans="1:28" x14ac:dyDescent="0.2">
      <c r="A535" s="91">
        <v>65</v>
      </c>
      <c r="B535" s="91" t="s">
        <v>189</v>
      </c>
      <c r="C535" s="92">
        <v>36796</v>
      </c>
      <c r="D535" s="41" t="s">
        <v>115</v>
      </c>
      <c r="E535" s="41" t="s">
        <v>14</v>
      </c>
      <c r="F535" s="41" t="s">
        <v>15</v>
      </c>
      <c r="G535" s="41" t="s">
        <v>33</v>
      </c>
      <c r="H535" s="93">
        <v>0.23</v>
      </c>
      <c r="I535" s="94">
        <f>+H535*K535</f>
        <v>31970</v>
      </c>
      <c r="J535" s="95">
        <v>36831</v>
      </c>
      <c r="K535" s="96">
        <v>139000</v>
      </c>
      <c r="L535" s="97" t="s">
        <v>25</v>
      </c>
      <c r="M535" s="93" t="s">
        <v>186</v>
      </c>
      <c r="O535" s="62">
        <f>0.0125*K535</f>
        <v>1737.5</v>
      </c>
      <c r="Q535" s="100">
        <v>4.3099999999999996</v>
      </c>
      <c r="T535" s="62">
        <f>(4.5-Q535)*K535</f>
        <v>26410.000000000055</v>
      </c>
      <c r="Y535" s="41" t="s">
        <v>206</v>
      </c>
      <c r="AA535" s="91" t="s">
        <v>202</v>
      </c>
      <c r="AB535" s="41" t="s">
        <v>297</v>
      </c>
    </row>
    <row r="536" spans="1:28" x14ac:dyDescent="0.2">
      <c r="A536" s="91">
        <v>65</v>
      </c>
      <c r="B536" s="91" t="s">
        <v>189</v>
      </c>
      <c r="C536" s="92">
        <v>36796</v>
      </c>
      <c r="D536" s="41" t="s">
        <v>115</v>
      </c>
      <c r="E536" s="41" t="s">
        <v>14</v>
      </c>
      <c r="F536" s="41" t="s">
        <v>15</v>
      </c>
      <c r="G536" s="41" t="s">
        <v>33</v>
      </c>
      <c r="H536" s="93">
        <v>0.23</v>
      </c>
      <c r="I536" s="94">
        <f>+H536*K536</f>
        <v>31970</v>
      </c>
      <c r="J536" s="95">
        <v>36861</v>
      </c>
      <c r="K536" s="96">
        <v>139000</v>
      </c>
      <c r="L536" s="97" t="s">
        <v>25</v>
      </c>
      <c r="M536" s="93" t="s">
        <v>186</v>
      </c>
      <c r="O536" s="62">
        <f>0.0125*K536</f>
        <v>1737.5</v>
      </c>
      <c r="Q536" s="100">
        <v>5.7750000000000004</v>
      </c>
      <c r="T536" s="62">
        <f>(5.75-Q536)*K536</f>
        <v>-3475.0000000000496</v>
      </c>
      <c r="AA536" s="91" t="s">
        <v>202</v>
      </c>
      <c r="AB536" s="41" t="s">
        <v>297</v>
      </c>
    </row>
    <row r="537" spans="1:28" x14ac:dyDescent="0.2">
      <c r="A537" s="91">
        <v>65</v>
      </c>
      <c r="B537" s="91" t="s">
        <v>189</v>
      </c>
      <c r="C537" s="92">
        <v>36796</v>
      </c>
      <c r="D537" s="41" t="s">
        <v>115</v>
      </c>
      <c r="E537" s="41" t="s">
        <v>14</v>
      </c>
      <c r="F537" s="41" t="s">
        <v>15</v>
      </c>
      <c r="G537" s="41" t="s">
        <v>33</v>
      </c>
      <c r="H537" s="93">
        <v>0.23</v>
      </c>
      <c r="I537" s="94">
        <f>+H537*K537</f>
        <v>31970</v>
      </c>
      <c r="J537" s="95">
        <v>36892</v>
      </c>
      <c r="K537" s="96">
        <v>139000</v>
      </c>
      <c r="L537" s="97" t="s">
        <v>25</v>
      </c>
      <c r="M537" s="93" t="s">
        <v>186</v>
      </c>
      <c r="O537" s="62">
        <f>0.0125*K537</f>
        <v>1737.5</v>
      </c>
      <c r="Q537" s="100">
        <v>9.5649999999999995</v>
      </c>
      <c r="T537" s="62">
        <f>(5.75-Q537)*K537</f>
        <v>-530284.99999999988</v>
      </c>
      <c r="AA537" s="91" t="s">
        <v>202</v>
      </c>
      <c r="AB537" s="41" t="s">
        <v>297</v>
      </c>
    </row>
    <row r="538" spans="1:28" x14ac:dyDescent="0.2">
      <c r="A538" s="91">
        <v>65</v>
      </c>
      <c r="B538" s="91" t="s">
        <v>189</v>
      </c>
      <c r="C538" s="92">
        <v>36796</v>
      </c>
      <c r="D538" s="41" t="s">
        <v>115</v>
      </c>
      <c r="E538" s="41" t="s">
        <v>14</v>
      </c>
      <c r="F538" s="41" t="s">
        <v>15</v>
      </c>
      <c r="G538" s="41" t="s">
        <v>33</v>
      </c>
      <c r="H538" s="93">
        <v>0.23</v>
      </c>
      <c r="I538" s="94">
        <f>+H538*K538</f>
        <v>31970</v>
      </c>
      <c r="J538" s="95">
        <v>36923</v>
      </c>
      <c r="K538" s="96">
        <v>139000</v>
      </c>
      <c r="L538" s="97" t="s">
        <v>25</v>
      </c>
      <c r="M538" s="93" t="s">
        <v>186</v>
      </c>
      <c r="O538" s="62">
        <f>0.0125*K538</f>
        <v>1737.5</v>
      </c>
      <c r="AA538" s="91" t="s">
        <v>202</v>
      </c>
      <c r="AB538" s="41" t="s">
        <v>297</v>
      </c>
    </row>
    <row r="540" spans="1:28" x14ac:dyDescent="0.2">
      <c r="A540" s="91">
        <v>66</v>
      </c>
      <c r="B540" s="91" t="s">
        <v>192</v>
      </c>
      <c r="C540" s="92">
        <v>36796</v>
      </c>
      <c r="D540" s="41" t="s">
        <v>117</v>
      </c>
      <c r="E540" s="41" t="s">
        <v>14</v>
      </c>
      <c r="F540" s="41" t="s">
        <v>15</v>
      </c>
      <c r="G540" s="41" t="s">
        <v>33</v>
      </c>
      <c r="H540" s="93">
        <v>0.23</v>
      </c>
      <c r="I540" s="94">
        <f>+H540*K540</f>
        <v>3680</v>
      </c>
      <c r="J540" s="95">
        <v>36831</v>
      </c>
      <c r="K540" s="96">
        <v>16000</v>
      </c>
      <c r="L540" s="97" t="s">
        <v>25</v>
      </c>
      <c r="M540" s="93" t="s">
        <v>186</v>
      </c>
      <c r="O540" s="62">
        <f>0.0125*K540</f>
        <v>200</v>
      </c>
      <c r="Q540" s="100">
        <v>4.3099999999999996</v>
      </c>
      <c r="T540" s="62">
        <f>(4.5-Q540)*K540</f>
        <v>3040.0000000000064</v>
      </c>
      <c r="Y540" s="41" t="s">
        <v>206</v>
      </c>
      <c r="AA540" s="91" t="s">
        <v>202</v>
      </c>
      <c r="AB540" s="41" t="s">
        <v>297</v>
      </c>
    </row>
    <row r="541" spans="1:28" x14ac:dyDescent="0.2">
      <c r="A541" s="91">
        <v>66</v>
      </c>
      <c r="B541" s="91" t="s">
        <v>192</v>
      </c>
      <c r="C541" s="92">
        <v>36796</v>
      </c>
      <c r="D541" s="41" t="s">
        <v>117</v>
      </c>
      <c r="E541" s="41" t="s">
        <v>14</v>
      </c>
      <c r="F541" s="41" t="s">
        <v>15</v>
      </c>
      <c r="G541" s="41" t="s">
        <v>33</v>
      </c>
      <c r="H541" s="93">
        <v>0.23</v>
      </c>
      <c r="I541" s="94">
        <f>+H541*K541</f>
        <v>3680</v>
      </c>
      <c r="J541" s="95">
        <v>36861</v>
      </c>
      <c r="K541" s="96">
        <v>16000</v>
      </c>
      <c r="L541" s="97" t="s">
        <v>25</v>
      </c>
      <c r="M541" s="93" t="s">
        <v>186</v>
      </c>
      <c r="O541" s="62">
        <f>0.0125*K541</f>
        <v>200</v>
      </c>
      <c r="Q541" s="100">
        <v>5.7750000000000004</v>
      </c>
      <c r="T541" s="62">
        <f>(5.75-Q541)*K541</f>
        <v>-400.00000000000568</v>
      </c>
      <c r="AA541" s="91" t="s">
        <v>202</v>
      </c>
      <c r="AB541" s="41" t="s">
        <v>297</v>
      </c>
    </row>
    <row r="542" spans="1:28" x14ac:dyDescent="0.2">
      <c r="A542" s="91">
        <v>66</v>
      </c>
      <c r="B542" s="91" t="s">
        <v>192</v>
      </c>
      <c r="C542" s="92">
        <v>36796</v>
      </c>
      <c r="D542" s="41" t="s">
        <v>117</v>
      </c>
      <c r="E542" s="41" t="s">
        <v>14</v>
      </c>
      <c r="F542" s="41" t="s">
        <v>15</v>
      </c>
      <c r="G542" s="41" t="s">
        <v>33</v>
      </c>
      <c r="H542" s="93">
        <v>0.23</v>
      </c>
      <c r="I542" s="94">
        <f>+H542*K542</f>
        <v>3680</v>
      </c>
      <c r="J542" s="95">
        <v>36892</v>
      </c>
      <c r="K542" s="96">
        <v>16000</v>
      </c>
      <c r="L542" s="97" t="s">
        <v>25</v>
      </c>
      <c r="M542" s="93" t="s">
        <v>186</v>
      </c>
      <c r="O542" s="62">
        <f>0.0125*K542</f>
        <v>200</v>
      </c>
      <c r="Q542" s="100">
        <v>9.5649999999999995</v>
      </c>
      <c r="T542" s="62">
        <f>(5.75-Q542)*K542</f>
        <v>-61039.999999999993</v>
      </c>
      <c r="AA542" s="91" t="s">
        <v>202</v>
      </c>
      <c r="AB542" s="41" t="s">
        <v>297</v>
      </c>
    </row>
    <row r="543" spans="1:28" x14ac:dyDescent="0.2">
      <c r="A543" s="91">
        <v>66</v>
      </c>
      <c r="B543" s="91" t="s">
        <v>192</v>
      </c>
      <c r="C543" s="92">
        <v>36796</v>
      </c>
      <c r="D543" s="41" t="s">
        <v>117</v>
      </c>
      <c r="E543" s="41" t="s">
        <v>14</v>
      </c>
      <c r="F543" s="41" t="s">
        <v>15</v>
      </c>
      <c r="G543" s="41" t="s">
        <v>33</v>
      </c>
      <c r="H543" s="93">
        <v>0.23</v>
      </c>
      <c r="I543" s="94">
        <f>+H543*K543</f>
        <v>3680</v>
      </c>
      <c r="J543" s="95">
        <v>36923</v>
      </c>
      <c r="K543" s="96">
        <v>16000</v>
      </c>
      <c r="L543" s="97" t="s">
        <v>25</v>
      </c>
      <c r="M543" s="93" t="s">
        <v>186</v>
      </c>
      <c r="O543" s="62">
        <f>0.0125*K543</f>
        <v>200</v>
      </c>
      <c r="AA543" s="91" t="s">
        <v>202</v>
      </c>
      <c r="AB543" s="41" t="s">
        <v>297</v>
      </c>
    </row>
    <row r="545" spans="1:28" x14ac:dyDescent="0.2">
      <c r="A545" s="91">
        <v>67</v>
      </c>
      <c r="B545" s="91" t="s">
        <v>191</v>
      </c>
      <c r="C545" s="92">
        <v>36796</v>
      </c>
      <c r="D545" s="41" t="s">
        <v>118</v>
      </c>
      <c r="E545" s="41" t="s">
        <v>14</v>
      </c>
      <c r="F545" s="41" t="s">
        <v>15</v>
      </c>
      <c r="G545" s="41" t="s">
        <v>33</v>
      </c>
      <c r="H545" s="93">
        <v>0.23</v>
      </c>
      <c r="I545" s="94">
        <f>+H545*K545</f>
        <v>3450</v>
      </c>
      <c r="J545" s="95">
        <v>36831</v>
      </c>
      <c r="K545" s="96">
        <v>15000</v>
      </c>
      <c r="L545" s="97" t="s">
        <v>25</v>
      </c>
      <c r="M545" s="93" t="s">
        <v>186</v>
      </c>
      <c r="O545" s="62">
        <f>0.0125*K545</f>
        <v>187.5</v>
      </c>
      <c r="Q545" s="100">
        <v>4.3099999999999996</v>
      </c>
      <c r="T545" s="62">
        <f>(4.5-Q545)*K545</f>
        <v>2850.0000000000059</v>
      </c>
      <c r="Y545" s="41" t="s">
        <v>206</v>
      </c>
      <c r="AA545" s="91" t="s">
        <v>202</v>
      </c>
      <c r="AB545" s="41" t="s">
        <v>297</v>
      </c>
    </row>
    <row r="546" spans="1:28" x14ac:dyDescent="0.2">
      <c r="A546" s="91">
        <v>67</v>
      </c>
      <c r="B546" s="91" t="s">
        <v>191</v>
      </c>
      <c r="C546" s="92">
        <v>36796</v>
      </c>
      <c r="D546" s="41" t="s">
        <v>118</v>
      </c>
      <c r="E546" s="41" t="s">
        <v>14</v>
      </c>
      <c r="F546" s="41" t="s">
        <v>15</v>
      </c>
      <c r="G546" s="41" t="s">
        <v>33</v>
      </c>
      <c r="H546" s="93">
        <v>0.23</v>
      </c>
      <c r="I546" s="94">
        <f>+H546*K546</f>
        <v>3450</v>
      </c>
      <c r="J546" s="95">
        <v>36861</v>
      </c>
      <c r="K546" s="96">
        <v>15000</v>
      </c>
      <c r="L546" s="97" t="s">
        <v>25</v>
      </c>
      <c r="M546" s="93" t="s">
        <v>186</v>
      </c>
      <c r="O546" s="62">
        <f>0.0125*K546</f>
        <v>187.5</v>
      </c>
      <c r="Q546" s="100">
        <v>5.7750000000000004</v>
      </c>
      <c r="T546" s="62">
        <f>(5.75-Q546)*K546</f>
        <v>-375.00000000000534</v>
      </c>
      <c r="AA546" s="91" t="s">
        <v>202</v>
      </c>
      <c r="AB546" s="41" t="s">
        <v>297</v>
      </c>
    </row>
    <row r="547" spans="1:28" x14ac:dyDescent="0.2">
      <c r="A547" s="91">
        <v>67</v>
      </c>
      <c r="B547" s="91" t="s">
        <v>191</v>
      </c>
      <c r="C547" s="92">
        <v>36796</v>
      </c>
      <c r="D547" s="41" t="s">
        <v>118</v>
      </c>
      <c r="E547" s="41" t="s">
        <v>14</v>
      </c>
      <c r="F547" s="41" t="s">
        <v>15</v>
      </c>
      <c r="G547" s="41" t="s">
        <v>33</v>
      </c>
      <c r="H547" s="93">
        <v>0.23</v>
      </c>
      <c r="I547" s="94">
        <f>+H547*K547</f>
        <v>3450</v>
      </c>
      <c r="J547" s="95">
        <v>36892</v>
      </c>
      <c r="K547" s="96">
        <v>15000</v>
      </c>
      <c r="L547" s="97" t="s">
        <v>25</v>
      </c>
      <c r="M547" s="93" t="s">
        <v>186</v>
      </c>
      <c r="O547" s="62">
        <f>0.0125*K547</f>
        <v>187.5</v>
      </c>
      <c r="Q547" s="100">
        <v>9.5649999999999995</v>
      </c>
      <c r="T547" s="62">
        <f>(5.75-Q547)*K547</f>
        <v>-57224.999999999993</v>
      </c>
      <c r="AA547" s="91" t="s">
        <v>202</v>
      </c>
      <c r="AB547" s="41" t="s">
        <v>297</v>
      </c>
    </row>
    <row r="548" spans="1:28" x14ac:dyDescent="0.2">
      <c r="A548" s="91">
        <v>67</v>
      </c>
      <c r="B548" s="91" t="s">
        <v>191</v>
      </c>
      <c r="C548" s="92">
        <v>36796</v>
      </c>
      <c r="D548" s="41" t="s">
        <v>118</v>
      </c>
      <c r="E548" s="41" t="s">
        <v>14</v>
      </c>
      <c r="F548" s="41" t="s">
        <v>15</v>
      </c>
      <c r="G548" s="41" t="s">
        <v>33</v>
      </c>
      <c r="H548" s="93">
        <v>0.23</v>
      </c>
      <c r="I548" s="94">
        <f>+H548*K548</f>
        <v>3450</v>
      </c>
      <c r="J548" s="95">
        <v>36923</v>
      </c>
      <c r="K548" s="96">
        <v>15000</v>
      </c>
      <c r="L548" s="97" t="s">
        <v>25</v>
      </c>
      <c r="M548" s="93" t="s">
        <v>186</v>
      </c>
      <c r="O548" s="62">
        <f>0.0125*K548</f>
        <v>187.5</v>
      </c>
      <c r="AA548" s="91" t="s">
        <v>202</v>
      </c>
      <c r="AB548" s="41" t="s">
        <v>297</v>
      </c>
    </row>
    <row r="550" spans="1:28" x14ac:dyDescent="0.2">
      <c r="A550" s="91">
        <v>68</v>
      </c>
      <c r="C550" s="92">
        <v>36797</v>
      </c>
      <c r="D550" s="41" t="s">
        <v>13</v>
      </c>
      <c r="E550" s="41" t="s">
        <v>14</v>
      </c>
      <c r="F550" s="41" t="s">
        <v>15</v>
      </c>
      <c r="G550" s="41" t="s">
        <v>16</v>
      </c>
      <c r="H550" s="93">
        <v>0</v>
      </c>
      <c r="I550" s="94">
        <f t="shared" ref="I550:I555" si="148">+H550*K550</f>
        <v>0</v>
      </c>
      <c r="J550" s="95">
        <v>36617</v>
      </c>
      <c r="K550" s="96">
        <v>805151</v>
      </c>
      <c r="L550" s="97" t="s">
        <v>25</v>
      </c>
      <c r="M550" s="98">
        <v>4.5</v>
      </c>
      <c r="N550" s="99">
        <f t="shared" ref="N550:N555" si="149">K550*M550</f>
        <v>3623179.5</v>
      </c>
      <c r="O550" s="62">
        <f t="shared" ref="O550:O555" si="150">0.065*K550</f>
        <v>52334.815000000002</v>
      </c>
      <c r="R550" s="101">
        <v>4.62</v>
      </c>
      <c r="U550" s="102">
        <f t="shared" ref="U550:U555" si="151">(M550-R550)*K550</f>
        <v>-96618.120000000083</v>
      </c>
      <c r="Y550" s="41" t="s">
        <v>59</v>
      </c>
      <c r="AA550" s="91" t="s">
        <v>202</v>
      </c>
      <c r="AB550" s="41" t="s">
        <v>296</v>
      </c>
    </row>
    <row r="551" spans="1:28" x14ac:dyDescent="0.2">
      <c r="A551" s="91">
        <v>68</v>
      </c>
      <c r="C551" s="92">
        <v>36797</v>
      </c>
      <c r="D551" s="41" t="s">
        <v>13</v>
      </c>
      <c r="E551" s="41" t="s">
        <v>14</v>
      </c>
      <c r="F551" s="41" t="s">
        <v>15</v>
      </c>
      <c r="G551" s="41" t="s">
        <v>16</v>
      </c>
      <c r="H551" s="93">
        <v>0</v>
      </c>
      <c r="I551" s="94">
        <f t="shared" si="148"/>
        <v>0</v>
      </c>
      <c r="J551" s="95">
        <v>36647</v>
      </c>
      <c r="K551" s="96">
        <v>805151</v>
      </c>
      <c r="L551" s="97" t="s">
        <v>25</v>
      </c>
      <c r="M551" s="98">
        <v>4.5</v>
      </c>
      <c r="N551" s="99">
        <f t="shared" si="149"/>
        <v>3623179.5</v>
      </c>
      <c r="O551" s="62">
        <f t="shared" si="150"/>
        <v>52334.815000000002</v>
      </c>
      <c r="R551" s="101">
        <v>4.5269999999999992</v>
      </c>
      <c r="U551" s="102">
        <f t="shared" si="151"/>
        <v>-21739.076999999394</v>
      </c>
      <c r="AA551" s="91" t="s">
        <v>202</v>
      </c>
      <c r="AB551" s="41" t="s">
        <v>296</v>
      </c>
    </row>
    <row r="552" spans="1:28" x14ac:dyDescent="0.2">
      <c r="A552" s="91">
        <v>68</v>
      </c>
      <c r="C552" s="92">
        <v>36797</v>
      </c>
      <c r="D552" s="41" t="s">
        <v>13</v>
      </c>
      <c r="E552" s="41" t="s">
        <v>14</v>
      </c>
      <c r="F552" s="41" t="s">
        <v>15</v>
      </c>
      <c r="G552" s="41" t="s">
        <v>16</v>
      </c>
      <c r="H552" s="93">
        <v>0</v>
      </c>
      <c r="I552" s="94">
        <f t="shared" si="148"/>
        <v>0</v>
      </c>
      <c r="J552" s="95">
        <v>36678</v>
      </c>
      <c r="K552" s="96">
        <v>805151</v>
      </c>
      <c r="L552" s="97" t="s">
        <v>25</v>
      </c>
      <c r="M552" s="98">
        <v>4.5</v>
      </c>
      <c r="N552" s="99">
        <f t="shared" si="149"/>
        <v>3623179.5</v>
      </c>
      <c r="O552" s="62">
        <f t="shared" si="150"/>
        <v>52334.815000000002</v>
      </c>
      <c r="R552" s="101">
        <v>4.5199999999999996</v>
      </c>
      <c r="U552" s="102">
        <f t="shared" si="151"/>
        <v>-16103.019999999657</v>
      </c>
      <c r="AA552" s="91" t="s">
        <v>202</v>
      </c>
      <c r="AB552" s="41" t="s">
        <v>296</v>
      </c>
    </row>
    <row r="553" spans="1:28" x14ac:dyDescent="0.2">
      <c r="A553" s="91">
        <v>68</v>
      </c>
      <c r="C553" s="92">
        <v>36797</v>
      </c>
      <c r="D553" s="41" t="s">
        <v>13</v>
      </c>
      <c r="E553" s="41" t="s">
        <v>14</v>
      </c>
      <c r="F553" s="41" t="s">
        <v>15</v>
      </c>
      <c r="G553" s="41" t="s">
        <v>16</v>
      </c>
      <c r="H553" s="93">
        <v>0</v>
      </c>
      <c r="I553" s="94">
        <f t="shared" si="148"/>
        <v>0</v>
      </c>
      <c r="J553" s="95">
        <v>36708</v>
      </c>
      <c r="K553" s="96">
        <v>805151</v>
      </c>
      <c r="L553" s="97" t="s">
        <v>25</v>
      </c>
      <c r="M553" s="98">
        <v>4.5</v>
      </c>
      <c r="N553" s="99">
        <f t="shared" si="149"/>
        <v>3623179.5</v>
      </c>
      <c r="O553" s="62">
        <f t="shared" si="150"/>
        <v>52334.815000000002</v>
      </c>
      <c r="R553" s="101">
        <v>4.5069999999999997</v>
      </c>
      <c r="U553" s="102">
        <f t="shared" si="151"/>
        <v>-5636.0569999997369</v>
      </c>
      <c r="AA553" s="91" t="s">
        <v>202</v>
      </c>
      <c r="AB553" s="41" t="s">
        <v>296</v>
      </c>
    </row>
    <row r="554" spans="1:28" x14ac:dyDescent="0.2">
      <c r="A554" s="91">
        <v>68</v>
      </c>
      <c r="C554" s="92">
        <v>36797</v>
      </c>
      <c r="D554" s="41" t="s">
        <v>13</v>
      </c>
      <c r="E554" s="41" t="s">
        <v>14</v>
      </c>
      <c r="F554" s="41" t="s">
        <v>15</v>
      </c>
      <c r="G554" s="41" t="s">
        <v>16</v>
      </c>
      <c r="H554" s="93">
        <v>0</v>
      </c>
      <c r="I554" s="94">
        <f t="shared" si="148"/>
        <v>0</v>
      </c>
      <c r="J554" s="95">
        <v>36739</v>
      </c>
      <c r="K554" s="96">
        <v>805151</v>
      </c>
      <c r="L554" s="97" t="s">
        <v>25</v>
      </c>
      <c r="M554" s="98">
        <v>4.5</v>
      </c>
      <c r="N554" s="99">
        <f t="shared" si="149"/>
        <v>3623179.5</v>
      </c>
      <c r="O554" s="62">
        <f t="shared" si="150"/>
        <v>52334.815000000002</v>
      </c>
      <c r="R554" s="101">
        <v>4.5199999999999996</v>
      </c>
      <c r="U554" s="102">
        <f t="shared" si="151"/>
        <v>-16103.019999999657</v>
      </c>
      <c r="AA554" s="91" t="s">
        <v>202</v>
      </c>
      <c r="AB554" s="41" t="s">
        <v>296</v>
      </c>
    </row>
    <row r="555" spans="1:28" x14ac:dyDescent="0.2">
      <c r="A555" s="91">
        <v>68</v>
      </c>
      <c r="C555" s="92">
        <v>36797</v>
      </c>
      <c r="D555" s="41" t="s">
        <v>13</v>
      </c>
      <c r="E555" s="41" t="s">
        <v>14</v>
      </c>
      <c r="F555" s="41" t="s">
        <v>15</v>
      </c>
      <c r="G555" s="41" t="s">
        <v>16</v>
      </c>
      <c r="H555" s="93">
        <v>0</v>
      </c>
      <c r="I555" s="94">
        <f t="shared" si="148"/>
        <v>0</v>
      </c>
      <c r="J555" s="95">
        <v>36770</v>
      </c>
      <c r="K555" s="96">
        <v>805151</v>
      </c>
      <c r="L555" s="97" t="s">
        <v>25</v>
      </c>
      <c r="M555" s="98">
        <v>4.5</v>
      </c>
      <c r="N555" s="99">
        <f t="shared" si="149"/>
        <v>3623179.5</v>
      </c>
      <c r="O555" s="62">
        <f t="shared" si="150"/>
        <v>52334.815000000002</v>
      </c>
      <c r="R555" s="101">
        <v>4.51</v>
      </c>
      <c r="U555" s="102">
        <f t="shared" si="151"/>
        <v>-8051.5099999998283</v>
      </c>
      <c r="AA555" s="91" t="s">
        <v>202</v>
      </c>
      <c r="AB555" s="41" t="s">
        <v>296</v>
      </c>
    </row>
    <row r="556" spans="1:28" x14ac:dyDescent="0.2">
      <c r="J556" s="95"/>
      <c r="M556" s="98"/>
    </row>
    <row r="557" spans="1:28" x14ac:dyDescent="0.2">
      <c r="A557" s="91">
        <v>69</v>
      </c>
      <c r="B557" s="91" t="s">
        <v>213</v>
      </c>
      <c r="C557" s="92">
        <v>36804</v>
      </c>
      <c r="D557" s="41" t="s">
        <v>54</v>
      </c>
      <c r="E557" s="41" t="s">
        <v>14</v>
      </c>
      <c r="F557" s="41" t="s">
        <v>15</v>
      </c>
      <c r="G557" s="41" t="s">
        <v>16</v>
      </c>
      <c r="H557" s="93">
        <v>0</v>
      </c>
      <c r="I557" s="94">
        <f>+H557*K557</f>
        <v>0</v>
      </c>
      <c r="J557" s="95">
        <v>36831</v>
      </c>
      <c r="K557" s="96">
        <v>640000</v>
      </c>
      <c r="L557" s="97" t="s">
        <v>25</v>
      </c>
      <c r="M557" s="98">
        <v>4.9000000000000004</v>
      </c>
      <c r="N557" s="99">
        <f>K557*M557</f>
        <v>3136000</v>
      </c>
      <c r="O557" s="62">
        <f>-0.045*K557*Z557</f>
        <v>-28658.354532266807</v>
      </c>
      <c r="Q557" s="100">
        <v>4.3099999999999996</v>
      </c>
      <c r="T557" s="62">
        <f>(M557-Q557)*K557</f>
        <v>377600.00000000047</v>
      </c>
      <c r="Y557" s="41" t="s">
        <v>180</v>
      </c>
      <c r="Z557" s="41">
        <v>0.9950817545925974</v>
      </c>
      <c r="AA557" s="91" t="s">
        <v>202</v>
      </c>
      <c r="AB557" s="41" t="s">
        <v>296</v>
      </c>
    </row>
    <row r="558" spans="1:28" x14ac:dyDescent="0.2">
      <c r="A558" s="91">
        <v>69</v>
      </c>
      <c r="B558" s="91" t="s">
        <v>213</v>
      </c>
      <c r="C558" s="92">
        <v>36804</v>
      </c>
      <c r="D558" s="41" t="s">
        <v>54</v>
      </c>
      <c r="E558" s="41" t="s">
        <v>14</v>
      </c>
      <c r="F558" s="41" t="s">
        <v>15</v>
      </c>
      <c r="G558" s="41" t="s">
        <v>16</v>
      </c>
      <c r="H558" s="93">
        <v>0</v>
      </c>
      <c r="I558" s="94">
        <f>+H558*K558</f>
        <v>0</v>
      </c>
      <c r="J558" s="95">
        <v>36861</v>
      </c>
      <c r="K558" s="96">
        <v>850000</v>
      </c>
      <c r="L558" s="97" t="s">
        <v>25</v>
      </c>
      <c r="M558" s="98">
        <v>4.9000000000000004</v>
      </c>
      <c r="N558" s="99">
        <f>K558*M558</f>
        <v>4165000.0000000005</v>
      </c>
      <c r="O558" s="62">
        <f>-0.13*K558*Z558</f>
        <v>-109352.66166291571</v>
      </c>
      <c r="Q558" s="100">
        <v>5.7750000000000004</v>
      </c>
      <c r="T558" s="62">
        <f>(M558-Q558)*K558</f>
        <v>-743750</v>
      </c>
      <c r="W558" s="102"/>
      <c r="X558" s="102"/>
      <c r="Z558" s="41">
        <v>0.98961684762819646</v>
      </c>
      <c r="AA558" s="91" t="s">
        <v>202</v>
      </c>
      <c r="AB558" s="41" t="s">
        <v>296</v>
      </c>
    </row>
    <row r="559" spans="1:28" x14ac:dyDescent="0.2">
      <c r="A559" s="91">
        <v>69</v>
      </c>
      <c r="B559" s="91" t="s">
        <v>213</v>
      </c>
      <c r="C559" s="92">
        <v>36804</v>
      </c>
      <c r="D559" s="41" t="s">
        <v>54</v>
      </c>
      <c r="E559" s="41" t="s">
        <v>14</v>
      </c>
      <c r="F559" s="41" t="s">
        <v>15</v>
      </c>
      <c r="G559" s="41" t="s">
        <v>16</v>
      </c>
      <c r="H559" s="93">
        <v>0</v>
      </c>
      <c r="I559" s="94">
        <f>+H559*K559</f>
        <v>0</v>
      </c>
      <c r="J559" s="95">
        <v>36892</v>
      </c>
      <c r="K559" s="96">
        <v>900000</v>
      </c>
      <c r="L559" s="97" t="s">
        <v>25</v>
      </c>
      <c r="M559" s="98">
        <v>4.9000000000000004</v>
      </c>
      <c r="N559" s="99">
        <f>K559*M559</f>
        <v>4410000</v>
      </c>
      <c r="O559" s="62">
        <f>-0.1*K559*Z559</f>
        <v>-88536.429865301019</v>
      </c>
      <c r="Q559" s="100">
        <v>9.5649999999999995</v>
      </c>
      <c r="T559" s="62">
        <f>(M559-Q559)*K559</f>
        <v>-4198499.9999999991</v>
      </c>
      <c r="U559" s="62"/>
      <c r="Z559" s="41">
        <v>0.98373810961445585</v>
      </c>
      <c r="AA559" s="91" t="s">
        <v>202</v>
      </c>
      <c r="AB559" s="41" t="s">
        <v>296</v>
      </c>
    </row>
    <row r="560" spans="1:28" x14ac:dyDescent="0.2">
      <c r="A560" s="91">
        <v>69</v>
      </c>
      <c r="B560" s="91" t="s">
        <v>213</v>
      </c>
      <c r="C560" s="92">
        <v>36804</v>
      </c>
      <c r="D560" s="41" t="s">
        <v>54</v>
      </c>
      <c r="E560" s="41" t="s">
        <v>14</v>
      </c>
      <c r="F560" s="41" t="s">
        <v>15</v>
      </c>
      <c r="G560" s="41" t="s">
        <v>16</v>
      </c>
      <c r="H560" s="93">
        <v>0</v>
      </c>
      <c r="I560" s="94">
        <f>+H560*K560</f>
        <v>0</v>
      </c>
      <c r="J560" s="95">
        <v>36923</v>
      </c>
      <c r="K560" s="96">
        <v>790000</v>
      </c>
      <c r="L560" s="97" t="s">
        <v>25</v>
      </c>
      <c r="M560" s="98">
        <v>4.9000000000000004</v>
      </c>
      <c r="N560" s="99">
        <f>K560*M560</f>
        <v>3871000.0000000005</v>
      </c>
      <c r="O560" s="62">
        <f>0.0975*K560*Z560</f>
        <v>75334.52056094518</v>
      </c>
      <c r="R560" s="101">
        <v>8.26</v>
      </c>
      <c r="U560" s="62">
        <f>(M560-R560)*K560</f>
        <v>-2654399.9999999995</v>
      </c>
      <c r="Z560" s="41">
        <v>0.97805284726965502</v>
      </c>
      <c r="AA560" s="91" t="s">
        <v>202</v>
      </c>
      <c r="AB560" s="41" t="s">
        <v>296</v>
      </c>
    </row>
    <row r="561" spans="1:28" x14ac:dyDescent="0.2">
      <c r="A561" s="91">
        <v>69</v>
      </c>
      <c r="B561" s="91" t="s">
        <v>213</v>
      </c>
      <c r="C561" s="92">
        <v>36804</v>
      </c>
      <c r="D561" s="41" t="s">
        <v>54</v>
      </c>
      <c r="E561" s="41" t="s">
        <v>14</v>
      </c>
      <c r="F561" s="41" t="s">
        <v>15</v>
      </c>
      <c r="G561" s="41" t="s">
        <v>16</v>
      </c>
      <c r="H561" s="93">
        <v>0</v>
      </c>
      <c r="I561" s="94">
        <f>+H561*K561</f>
        <v>0</v>
      </c>
      <c r="J561" s="95">
        <v>36951</v>
      </c>
      <c r="K561" s="96">
        <v>740000</v>
      </c>
      <c r="L561" s="97" t="s">
        <v>25</v>
      </c>
      <c r="M561" s="98">
        <v>4.9000000000000004</v>
      </c>
      <c r="N561" s="99">
        <f>K561*M561</f>
        <v>3626000.0000000005</v>
      </c>
      <c r="O561" s="62">
        <f>0.29*K561*Z561</f>
        <v>208816.52515204286</v>
      </c>
      <c r="R561" s="101">
        <v>7.55</v>
      </c>
      <c r="U561" s="62">
        <f>(M561-R561)*K561</f>
        <v>-1960999.9999999995</v>
      </c>
      <c r="Z561" s="41">
        <v>0.97304997740933308</v>
      </c>
      <c r="AA561" s="91" t="s">
        <v>202</v>
      </c>
      <c r="AB561" s="41" t="s">
        <v>296</v>
      </c>
    </row>
    <row r="562" spans="1:28" x14ac:dyDescent="0.2">
      <c r="J562" s="95"/>
    </row>
    <row r="563" spans="1:28" x14ac:dyDescent="0.2">
      <c r="A563" s="91">
        <v>70</v>
      </c>
      <c r="B563" s="91" t="s">
        <v>214</v>
      </c>
      <c r="C563" s="92">
        <v>36804</v>
      </c>
      <c r="D563" s="41" t="s">
        <v>122</v>
      </c>
      <c r="E563" s="41" t="s">
        <v>14</v>
      </c>
      <c r="F563" s="41" t="s">
        <v>15</v>
      </c>
      <c r="G563" s="41" t="s">
        <v>16</v>
      </c>
      <c r="H563" s="93">
        <v>0</v>
      </c>
      <c r="I563" s="94">
        <f>+H563*K563</f>
        <v>0</v>
      </c>
      <c r="J563" s="95">
        <v>36831</v>
      </c>
      <c r="K563" s="96">
        <v>80000</v>
      </c>
      <c r="L563" s="97" t="s">
        <v>25</v>
      </c>
      <c r="M563" s="98">
        <v>4.9000000000000004</v>
      </c>
      <c r="N563" s="99">
        <f>K563*M563</f>
        <v>392000</v>
      </c>
      <c r="O563" s="62">
        <f>-0.045*K563*Z563</f>
        <v>-3582.2943165333509</v>
      </c>
      <c r="Q563" s="100">
        <v>4.3099999999999996</v>
      </c>
      <c r="T563" s="62">
        <f>(M563-Q563)*K563</f>
        <v>47200.000000000058</v>
      </c>
      <c r="Y563" s="41" t="s">
        <v>180</v>
      </c>
      <c r="Z563" s="41">
        <v>0.9950817545925974</v>
      </c>
      <c r="AA563" s="91" t="s">
        <v>202</v>
      </c>
      <c r="AB563" s="41" t="s">
        <v>296</v>
      </c>
    </row>
    <row r="564" spans="1:28" x14ac:dyDescent="0.2">
      <c r="A564" s="91">
        <v>70</v>
      </c>
      <c r="B564" s="91" t="s">
        <v>214</v>
      </c>
      <c r="C564" s="92">
        <v>36804</v>
      </c>
      <c r="D564" s="41" t="s">
        <v>122</v>
      </c>
      <c r="E564" s="41" t="s">
        <v>14</v>
      </c>
      <c r="F564" s="41" t="s">
        <v>15</v>
      </c>
      <c r="G564" s="41" t="s">
        <v>16</v>
      </c>
      <c r="H564" s="93">
        <v>0</v>
      </c>
      <c r="I564" s="94">
        <f>+H564*K564</f>
        <v>0</v>
      </c>
      <c r="J564" s="95">
        <v>36861</v>
      </c>
      <c r="K564" s="96">
        <v>90000</v>
      </c>
      <c r="L564" s="97" t="s">
        <v>25</v>
      </c>
      <c r="M564" s="98">
        <v>4.9000000000000004</v>
      </c>
      <c r="N564" s="99">
        <f>K564*M564</f>
        <v>441000.00000000006</v>
      </c>
      <c r="O564" s="62">
        <f>-0.13*K564*Z564</f>
        <v>-11578.517117249899</v>
      </c>
      <c r="Q564" s="100">
        <v>5.7750000000000004</v>
      </c>
      <c r="T564" s="62">
        <f>(M564-Q564)*K564</f>
        <v>-78750</v>
      </c>
      <c r="W564" s="102"/>
      <c r="X564" s="102"/>
      <c r="Z564" s="41">
        <v>0.98961684762819646</v>
      </c>
      <c r="AA564" s="91" t="s">
        <v>202</v>
      </c>
      <c r="AB564" s="41" t="s">
        <v>296</v>
      </c>
    </row>
    <row r="565" spans="1:28" x14ac:dyDescent="0.2">
      <c r="A565" s="91">
        <v>70</v>
      </c>
      <c r="B565" s="91" t="s">
        <v>214</v>
      </c>
      <c r="C565" s="92">
        <v>36804</v>
      </c>
      <c r="D565" s="41" t="s">
        <v>122</v>
      </c>
      <c r="E565" s="41" t="s">
        <v>14</v>
      </c>
      <c r="F565" s="41" t="s">
        <v>15</v>
      </c>
      <c r="G565" s="41" t="s">
        <v>16</v>
      </c>
      <c r="H565" s="93">
        <v>0</v>
      </c>
      <c r="I565" s="94">
        <f>+H565*K565</f>
        <v>0</v>
      </c>
      <c r="J565" s="95">
        <v>36892</v>
      </c>
      <c r="K565" s="96">
        <v>160000</v>
      </c>
      <c r="L565" s="97" t="s">
        <v>25</v>
      </c>
      <c r="M565" s="98">
        <v>4.9000000000000004</v>
      </c>
      <c r="N565" s="99">
        <f>K565*M565</f>
        <v>784000</v>
      </c>
      <c r="O565" s="62">
        <f>-0.1*K565*Z565</f>
        <v>-15739.809753831294</v>
      </c>
      <c r="Q565" s="100">
        <v>9.5649999999999995</v>
      </c>
      <c r="T565" s="62">
        <f>(M565-Q565)*K565</f>
        <v>-746399.99999999988</v>
      </c>
      <c r="U565" s="62"/>
      <c r="Z565" s="41">
        <v>0.98373810961445585</v>
      </c>
      <c r="AA565" s="91" t="s">
        <v>202</v>
      </c>
      <c r="AB565" s="41" t="s">
        <v>296</v>
      </c>
    </row>
    <row r="566" spans="1:28" x14ac:dyDescent="0.2">
      <c r="A566" s="91">
        <v>70</v>
      </c>
      <c r="B566" s="91" t="s">
        <v>214</v>
      </c>
      <c r="C566" s="92">
        <v>36804</v>
      </c>
      <c r="D566" s="41" t="s">
        <v>122</v>
      </c>
      <c r="E566" s="41" t="s">
        <v>14</v>
      </c>
      <c r="F566" s="41" t="s">
        <v>15</v>
      </c>
      <c r="G566" s="41" t="s">
        <v>16</v>
      </c>
      <c r="H566" s="93">
        <v>0</v>
      </c>
      <c r="I566" s="94">
        <f>+H566*K566</f>
        <v>0</v>
      </c>
      <c r="J566" s="95">
        <v>36923</v>
      </c>
      <c r="K566" s="96">
        <v>140000</v>
      </c>
      <c r="L566" s="97" t="s">
        <v>25</v>
      </c>
      <c r="M566" s="98">
        <v>4.9000000000000004</v>
      </c>
      <c r="N566" s="99">
        <f>K566*M566</f>
        <v>686000</v>
      </c>
      <c r="O566" s="62">
        <f>0.0975*K566*Z566</f>
        <v>13350.421365230792</v>
      </c>
      <c r="R566" s="101">
        <v>8.26</v>
      </c>
      <c r="U566" s="62">
        <f>(M566-R566)*K566</f>
        <v>-470399.99999999994</v>
      </c>
      <c r="Z566" s="41">
        <v>0.97805284726965502</v>
      </c>
      <c r="AA566" s="91" t="s">
        <v>202</v>
      </c>
      <c r="AB566" s="41" t="s">
        <v>296</v>
      </c>
    </row>
    <row r="567" spans="1:28" x14ac:dyDescent="0.2">
      <c r="A567" s="91">
        <v>70</v>
      </c>
      <c r="B567" s="91" t="s">
        <v>214</v>
      </c>
      <c r="C567" s="92">
        <v>36804</v>
      </c>
      <c r="D567" s="41" t="s">
        <v>122</v>
      </c>
      <c r="E567" s="41" t="s">
        <v>14</v>
      </c>
      <c r="F567" s="41" t="s">
        <v>15</v>
      </c>
      <c r="G567" s="41" t="s">
        <v>16</v>
      </c>
      <c r="H567" s="93">
        <v>0</v>
      </c>
      <c r="I567" s="94">
        <f>+H567*K567</f>
        <v>0</v>
      </c>
      <c r="J567" s="95">
        <v>36951</v>
      </c>
      <c r="K567" s="96">
        <v>120000</v>
      </c>
      <c r="L567" s="97" t="s">
        <v>25</v>
      </c>
      <c r="M567" s="98">
        <v>4.9000000000000004</v>
      </c>
      <c r="N567" s="99">
        <f>K567*M567</f>
        <v>588000</v>
      </c>
      <c r="O567" s="62">
        <f>0.29*K567*Z567</f>
        <v>33862.139213844792</v>
      </c>
      <c r="R567" s="101">
        <v>7.55</v>
      </c>
      <c r="U567" s="62">
        <f>(M567-R567)*K567</f>
        <v>-317999.99999999994</v>
      </c>
      <c r="Z567" s="41">
        <v>0.97304997740933308</v>
      </c>
      <c r="AA567" s="91" t="s">
        <v>202</v>
      </c>
      <c r="AB567" s="41" t="s">
        <v>296</v>
      </c>
    </row>
    <row r="569" spans="1:28" x14ac:dyDescent="0.2">
      <c r="A569" s="91">
        <v>71</v>
      </c>
      <c r="C569" s="92">
        <v>36804</v>
      </c>
      <c r="D569" s="41" t="s">
        <v>20</v>
      </c>
      <c r="E569" s="41" t="s">
        <v>14</v>
      </c>
      <c r="F569" s="41" t="s">
        <v>21</v>
      </c>
      <c r="G569" s="41" t="s">
        <v>16</v>
      </c>
      <c r="H569" s="93">
        <v>0</v>
      </c>
      <c r="I569" s="94">
        <f>+H569*K569</f>
        <v>0</v>
      </c>
      <c r="J569" s="95">
        <v>36831</v>
      </c>
      <c r="K569" s="96">
        <v>60000</v>
      </c>
      <c r="L569" s="97" t="s">
        <v>25</v>
      </c>
      <c r="M569" s="98">
        <v>5.1150000000000002</v>
      </c>
      <c r="N569" s="99">
        <f>K569*M569</f>
        <v>306900</v>
      </c>
      <c r="O569" s="62">
        <f>0.0025*K569</f>
        <v>150</v>
      </c>
      <c r="Q569" s="100">
        <v>4.46</v>
      </c>
      <c r="T569" s="62">
        <f>(M569-Q569)*K569</f>
        <v>39300.000000000015</v>
      </c>
      <c r="Y569" s="41" t="s">
        <v>205</v>
      </c>
      <c r="AB569" s="41" t="s">
        <v>296</v>
      </c>
    </row>
    <row r="570" spans="1:28" x14ac:dyDescent="0.2">
      <c r="A570" s="91">
        <v>71</v>
      </c>
      <c r="C570" s="92">
        <v>36804</v>
      </c>
      <c r="D570" s="41" t="s">
        <v>20</v>
      </c>
      <c r="E570" s="41" t="s">
        <v>14</v>
      </c>
      <c r="F570" s="41" t="s">
        <v>21</v>
      </c>
      <c r="G570" s="41" t="s">
        <v>16</v>
      </c>
      <c r="H570" s="93">
        <v>0</v>
      </c>
      <c r="I570" s="94">
        <f>+H570*K570</f>
        <v>0</v>
      </c>
      <c r="J570" s="95">
        <v>36861</v>
      </c>
      <c r="K570" s="96">
        <v>60000</v>
      </c>
      <c r="L570" s="97" t="s">
        <v>25</v>
      </c>
      <c r="M570" s="98">
        <v>5.1749999999999998</v>
      </c>
      <c r="N570" s="99">
        <f>K570*M570</f>
        <v>310500</v>
      </c>
      <c r="O570" s="62">
        <f>0.0025*K570</f>
        <v>150</v>
      </c>
      <c r="Q570" s="100">
        <v>6</v>
      </c>
      <c r="T570" s="62">
        <f>(M570-Q570)*K570</f>
        <v>-49500.000000000007</v>
      </c>
      <c r="W570" s="102"/>
      <c r="X570" s="102"/>
      <c r="AB570" s="41" t="s">
        <v>296</v>
      </c>
    </row>
    <row r="571" spans="1:28" x14ac:dyDescent="0.2">
      <c r="A571" s="91">
        <v>71</v>
      </c>
      <c r="C571" s="92">
        <v>36804</v>
      </c>
      <c r="D571" s="41" t="s">
        <v>20</v>
      </c>
      <c r="E571" s="41" t="s">
        <v>14</v>
      </c>
      <c r="F571" s="41" t="s">
        <v>21</v>
      </c>
      <c r="G571" s="41" t="s">
        <v>16</v>
      </c>
      <c r="H571" s="93">
        <v>0</v>
      </c>
      <c r="I571" s="94">
        <f>+H571*K571</f>
        <v>0</v>
      </c>
      <c r="J571" s="95">
        <v>36892</v>
      </c>
      <c r="K571" s="96">
        <v>100000</v>
      </c>
      <c r="L571" s="97" t="s">
        <v>25</v>
      </c>
      <c r="M571" s="98">
        <v>5.1100000000000003</v>
      </c>
      <c r="N571" s="99">
        <f>K571*M571</f>
        <v>511000.00000000006</v>
      </c>
      <c r="O571" s="62">
        <f>0.0025*K571</f>
        <v>250</v>
      </c>
      <c r="Q571" s="100">
        <v>9.84</v>
      </c>
      <c r="T571" s="62">
        <f>(M571-Q571)*K571</f>
        <v>-472999.99999999994</v>
      </c>
      <c r="AB571" s="41" t="s">
        <v>296</v>
      </c>
    </row>
    <row r="572" spans="1:28" x14ac:dyDescent="0.2">
      <c r="J572" s="95"/>
      <c r="M572" s="98"/>
    </row>
    <row r="573" spans="1:28" x14ac:dyDescent="0.2">
      <c r="A573" s="91">
        <v>72</v>
      </c>
      <c r="C573" s="92">
        <v>36804</v>
      </c>
      <c r="D573" s="41" t="s">
        <v>20</v>
      </c>
      <c r="E573" s="41" t="s">
        <v>14</v>
      </c>
      <c r="F573" s="41" t="s">
        <v>21</v>
      </c>
      <c r="G573" s="41" t="s">
        <v>197</v>
      </c>
      <c r="H573" s="93">
        <v>0.13</v>
      </c>
      <c r="I573" s="94">
        <f>+H573*K573</f>
        <v>7800</v>
      </c>
      <c r="J573" s="95">
        <v>36861</v>
      </c>
      <c r="K573" s="96">
        <v>60000</v>
      </c>
      <c r="L573" s="97" t="s">
        <v>25</v>
      </c>
      <c r="M573" s="98">
        <v>6.1</v>
      </c>
      <c r="O573" s="62">
        <f>0.01*K573</f>
        <v>600</v>
      </c>
      <c r="Q573" s="100">
        <v>6</v>
      </c>
      <c r="T573" s="62">
        <v>0</v>
      </c>
      <c r="AB573" s="41" t="s">
        <v>296</v>
      </c>
    </row>
    <row r="574" spans="1:28" x14ac:dyDescent="0.2">
      <c r="A574" s="91">
        <v>72</v>
      </c>
      <c r="C574" s="92">
        <v>36804</v>
      </c>
      <c r="D574" s="41" t="s">
        <v>20</v>
      </c>
      <c r="E574" s="41" t="s">
        <v>14</v>
      </c>
      <c r="F574" s="41" t="s">
        <v>21</v>
      </c>
      <c r="G574" s="41" t="s">
        <v>197</v>
      </c>
      <c r="H574" s="93">
        <v>0.255</v>
      </c>
      <c r="I574" s="94">
        <f>+H574*K574</f>
        <v>25500</v>
      </c>
      <c r="J574" s="95">
        <v>36892</v>
      </c>
      <c r="K574" s="96">
        <v>100000</v>
      </c>
      <c r="L574" s="97" t="s">
        <v>25</v>
      </c>
      <c r="M574" s="98">
        <v>6.1</v>
      </c>
      <c r="O574" s="62">
        <f>0.01*K574</f>
        <v>1000</v>
      </c>
      <c r="Q574" s="100">
        <v>9.84</v>
      </c>
      <c r="T574" s="62">
        <f>-(6.1-Q574)*K574</f>
        <v>374000</v>
      </c>
      <c r="W574" s="102"/>
      <c r="X574" s="102"/>
      <c r="Y574" s="41" t="s">
        <v>205</v>
      </c>
      <c r="AB574" s="41" t="s">
        <v>296</v>
      </c>
    </row>
    <row r="575" spans="1:28" x14ac:dyDescent="0.2">
      <c r="J575" s="95"/>
      <c r="M575" s="98"/>
    </row>
    <row r="576" spans="1:28" x14ac:dyDescent="0.2">
      <c r="A576" s="91">
        <v>73</v>
      </c>
      <c r="C576" s="92">
        <v>36805</v>
      </c>
      <c r="D576" s="41" t="s">
        <v>20</v>
      </c>
      <c r="E576" s="41" t="s">
        <v>14</v>
      </c>
      <c r="F576" s="41" t="s">
        <v>21</v>
      </c>
      <c r="G576" s="41" t="s">
        <v>198</v>
      </c>
      <c r="H576" s="93">
        <v>0</v>
      </c>
      <c r="I576" s="94">
        <f>+H576*K576</f>
        <v>0</v>
      </c>
      <c r="J576" s="95">
        <v>36892</v>
      </c>
      <c r="K576" s="96">
        <v>40000</v>
      </c>
      <c r="L576" s="97" t="s">
        <v>25</v>
      </c>
      <c r="M576" s="98">
        <v>5.03</v>
      </c>
      <c r="N576" s="99">
        <f>K576*M576</f>
        <v>201200</v>
      </c>
      <c r="O576" s="62">
        <f>0.0025*K576</f>
        <v>100</v>
      </c>
      <c r="Q576" s="100">
        <v>9.84</v>
      </c>
      <c r="T576" s="62">
        <f>-(M576-Q576)*K576</f>
        <v>192399.99999999997</v>
      </c>
      <c r="Y576" s="41" t="s">
        <v>205</v>
      </c>
      <c r="AB576" s="41" t="s">
        <v>296</v>
      </c>
    </row>
    <row r="578" spans="1:28" x14ac:dyDescent="0.2">
      <c r="A578" s="91">
        <v>74</v>
      </c>
      <c r="B578" s="91" t="s">
        <v>299</v>
      </c>
      <c r="C578" s="92">
        <v>36811</v>
      </c>
      <c r="D578" s="41" t="s">
        <v>212</v>
      </c>
      <c r="E578" s="41" t="s">
        <v>14</v>
      </c>
      <c r="F578" s="41" t="s">
        <v>15</v>
      </c>
      <c r="G578" s="41" t="s">
        <v>16</v>
      </c>
      <c r="H578" s="93">
        <v>0</v>
      </c>
      <c r="I578" s="94">
        <f>+H578*K578</f>
        <v>0</v>
      </c>
      <c r="J578" s="95">
        <v>36831</v>
      </c>
      <c r="K578" s="96">
        <v>28000</v>
      </c>
      <c r="L578" s="97" t="s">
        <v>25</v>
      </c>
      <c r="M578" s="98">
        <v>5.44</v>
      </c>
      <c r="N578" s="99">
        <f>K578*M578</f>
        <v>152320</v>
      </c>
      <c r="O578" s="62">
        <f>0.0175*K578</f>
        <v>490.00000000000006</v>
      </c>
      <c r="Q578" s="100">
        <v>4.3099999999999996</v>
      </c>
      <c r="T578" s="62">
        <f>(M578-Q578)*K578</f>
        <v>31640.000000000022</v>
      </c>
      <c r="Y578" s="41" t="s">
        <v>204</v>
      </c>
      <c r="AA578" s="91" t="s">
        <v>202</v>
      </c>
      <c r="AB578" s="41" t="s">
        <v>296</v>
      </c>
    </row>
    <row r="579" spans="1:28" x14ac:dyDescent="0.2">
      <c r="A579" s="91">
        <v>74</v>
      </c>
      <c r="B579" s="91" t="s">
        <v>299</v>
      </c>
      <c r="C579" s="92">
        <v>36811</v>
      </c>
      <c r="D579" s="41" t="s">
        <v>212</v>
      </c>
      <c r="E579" s="41" t="s">
        <v>14</v>
      </c>
      <c r="F579" s="41" t="s">
        <v>15</v>
      </c>
      <c r="G579" s="41" t="s">
        <v>16</v>
      </c>
      <c r="H579" s="93">
        <v>0</v>
      </c>
      <c r="I579" s="94">
        <f>+H579*K579</f>
        <v>0</v>
      </c>
      <c r="J579" s="95">
        <v>36861</v>
      </c>
      <c r="K579" s="96">
        <v>28000</v>
      </c>
      <c r="L579" s="97" t="s">
        <v>25</v>
      </c>
      <c r="M579" s="98">
        <v>5.44</v>
      </c>
      <c r="N579" s="99">
        <f>K579*M579</f>
        <v>152320</v>
      </c>
      <c r="O579" s="62">
        <f>0.0175*K579</f>
        <v>490.00000000000006</v>
      </c>
      <c r="Q579" s="100">
        <v>5.7750000000000004</v>
      </c>
      <c r="T579" s="62">
        <f>(M579-Q579)*K579</f>
        <v>-9379.9999999999982</v>
      </c>
      <c r="W579" s="102"/>
      <c r="X579" s="102"/>
      <c r="AA579" s="91" t="s">
        <v>202</v>
      </c>
      <c r="AB579" s="41" t="s">
        <v>296</v>
      </c>
    </row>
    <row r="580" spans="1:28" x14ac:dyDescent="0.2">
      <c r="A580" s="91">
        <v>74</v>
      </c>
      <c r="B580" s="91" t="s">
        <v>299</v>
      </c>
      <c r="C580" s="92">
        <v>36811</v>
      </c>
      <c r="D580" s="41" t="s">
        <v>212</v>
      </c>
      <c r="E580" s="41" t="s">
        <v>14</v>
      </c>
      <c r="F580" s="41" t="s">
        <v>15</v>
      </c>
      <c r="G580" s="41" t="s">
        <v>16</v>
      </c>
      <c r="H580" s="93">
        <v>0</v>
      </c>
      <c r="I580" s="94">
        <f>+H580*K580</f>
        <v>0</v>
      </c>
      <c r="J580" s="95">
        <v>36892</v>
      </c>
      <c r="K580" s="96">
        <v>28000</v>
      </c>
      <c r="L580" s="97" t="s">
        <v>25</v>
      </c>
      <c r="M580" s="98">
        <v>5.44</v>
      </c>
      <c r="N580" s="99">
        <f>K580*M580</f>
        <v>152320</v>
      </c>
      <c r="O580" s="62">
        <f>0.0175*K580</f>
        <v>490.00000000000006</v>
      </c>
      <c r="Q580" s="100">
        <v>9.5649999999999995</v>
      </c>
      <c r="T580" s="62">
        <f>(M580-Q580)*K580</f>
        <v>-115499.99999999997</v>
      </c>
      <c r="AA580" s="91" t="s">
        <v>202</v>
      </c>
      <c r="AB580" s="41" t="s">
        <v>296</v>
      </c>
    </row>
    <row r="581" spans="1:28" x14ac:dyDescent="0.2">
      <c r="A581" s="91">
        <v>74</v>
      </c>
      <c r="B581" s="91" t="s">
        <v>299</v>
      </c>
      <c r="C581" s="92">
        <v>36811</v>
      </c>
      <c r="D581" s="41" t="s">
        <v>212</v>
      </c>
      <c r="E581" s="41" t="s">
        <v>14</v>
      </c>
      <c r="F581" s="41" t="s">
        <v>15</v>
      </c>
      <c r="G581" s="41" t="s">
        <v>16</v>
      </c>
      <c r="H581" s="93">
        <v>0</v>
      </c>
      <c r="I581" s="94">
        <f>+H581*K581</f>
        <v>0</v>
      </c>
      <c r="J581" s="95">
        <v>36923</v>
      </c>
      <c r="K581" s="96">
        <v>28000</v>
      </c>
      <c r="L581" s="97" t="s">
        <v>25</v>
      </c>
      <c r="M581" s="98">
        <v>5.44</v>
      </c>
      <c r="N581" s="99">
        <f>K581*M581</f>
        <v>152320</v>
      </c>
      <c r="O581" s="62">
        <f>0.0175*K581</f>
        <v>490.00000000000006</v>
      </c>
      <c r="R581" s="101">
        <v>5.0920000000000005</v>
      </c>
      <c r="U581" s="102">
        <f>(M581-R581)*K581</f>
        <v>9743.9999999999964</v>
      </c>
      <c r="AA581" s="91" t="s">
        <v>202</v>
      </c>
      <c r="AB581" s="41" t="s">
        <v>296</v>
      </c>
    </row>
    <row r="582" spans="1:28" x14ac:dyDescent="0.2">
      <c r="A582" s="91">
        <v>74</v>
      </c>
      <c r="B582" s="91" t="s">
        <v>299</v>
      </c>
      <c r="C582" s="92">
        <v>36811</v>
      </c>
      <c r="D582" s="41" t="s">
        <v>212</v>
      </c>
      <c r="E582" s="41" t="s">
        <v>14</v>
      </c>
      <c r="F582" s="41" t="s">
        <v>15</v>
      </c>
      <c r="G582" s="41" t="s">
        <v>16</v>
      </c>
      <c r="H582" s="93">
        <v>0</v>
      </c>
      <c r="I582" s="94">
        <f>+H582*K582</f>
        <v>0</v>
      </c>
      <c r="J582" s="95">
        <v>36951</v>
      </c>
      <c r="K582" s="96">
        <v>28000</v>
      </c>
      <c r="L582" s="97" t="s">
        <v>25</v>
      </c>
      <c r="M582" s="98">
        <v>5.44</v>
      </c>
      <c r="N582" s="99">
        <f>K582*M582</f>
        <v>152320</v>
      </c>
      <c r="O582" s="62">
        <f>0.0175*K582</f>
        <v>490.00000000000006</v>
      </c>
      <c r="R582" s="101">
        <v>4.8560000000000008</v>
      </c>
      <c r="U582" s="102">
        <f>(M582-R582)*K582</f>
        <v>16351.999999999989</v>
      </c>
      <c r="AA582" s="91" t="s">
        <v>202</v>
      </c>
      <c r="AB582" s="41" t="s">
        <v>296</v>
      </c>
    </row>
    <row r="584" spans="1:28" x14ac:dyDescent="0.2">
      <c r="A584" s="91">
        <v>75</v>
      </c>
      <c r="B584" s="91" t="s">
        <v>300</v>
      </c>
      <c r="C584" s="92">
        <v>36812</v>
      </c>
      <c r="D584" s="41" t="s">
        <v>203</v>
      </c>
      <c r="E584" s="41" t="s">
        <v>14</v>
      </c>
      <c r="F584" s="41" t="s">
        <v>15</v>
      </c>
      <c r="G584" s="41" t="s">
        <v>16</v>
      </c>
      <c r="H584" s="93">
        <v>0</v>
      </c>
      <c r="I584" s="94">
        <f>+H584*K584</f>
        <v>0</v>
      </c>
      <c r="J584" s="95">
        <v>36831</v>
      </c>
      <c r="K584" s="96">
        <v>18500</v>
      </c>
      <c r="L584" s="97" t="s">
        <v>25</v>
      </c>
      <c r="M584" s="98">
        <v>5.35</v>
      </c>
      <c r="N584" s="99">
        <f>K584*M584</f>
        <v>98975</v>
      </c>
      <c r="O584" s="62">
        <f>0.02*K584</f>
        <v>370</v>
      </c>
      <c r="Q584" s="100">
        <v>4.3099999999999996</v>
      </c>
      <c r="T584" s="62">
        <f>(M584-Q584)*K584</f>
        <v>19240</v>
      </c>
      <c r="Y584" s="41" t="s">
        <v>60</v>
      </c>
      <c r="AB584" s="41" t="s">
        <v>296</v>
      </c>
    </row>
    <row r="585" spans="1:28" x14ac:dyDescent="0.2">
      <c r="A585" s="91">
        <v>75</v>
      </c>
      <c r="B585" s="91" t="s">
        <v>300</v>
      </c>
      <c r="C585" s="92">
        <v>36812</v>
      </c>
      <c r="D585" s="41" t="s">
        <v>203</v>
      </c>
      <c r="E585" s="41" t="s">
        <v>14</v>
      </c>
      <c r="F585" s="41" t="s">
        <v>15</v>
      </c>
      <c r="G585" s="41" t="s">
        <v>16</v>
      </c>
      <c r="H585" s="93">
        <v>0</v>
      </c>
      <c r="I585" s="94">
        <f>+H585*K585</f>
        <v>0</v>
      </c>
      <c r="J585" s="95">
        <v>36861</v>
      </c>
      <c r="K585" s="96">
        <v>18500</v>
      </c>
      <c r="L585" s="97" t="s">
        <v>25</v>
      </c>
      <c r="M585" s="98">
        <v>5.35</v>
      </c>
      <c r="N585" s="99">
        <f>K585*M585</f>
        <v>98975</v>
      </c>
      <c r="O585" s="62">
        <f>0.02*K585</f>
        <v>370</v>
      </c>
      <c r="Q585" s="100">
        <v>5.7750000000000004</v>
      </c>
      <c r="T585" s="62">
        <f>(M585-Q585)*K585</f>
        <v>-7862.5000000000127</v>
      </c>
      <c r="W585" s="102"/>
      <c r="X585" s="102"/>
      <c r="AB585" s="41" t="s">
        <v>296</v>
      </c>
    </row>
    <row r="586" spans="1:28" x14ac:dyDescent="0.2">
      <c r="A586" s="91">
        <v>75</v>
      </c>
      <c r="B586" s="91" t="s">
        <v>300</v>
      </c>
      <c r="C586" s="92">
        <v>36812</v>
      </c>
      <c r="D586" s="41" t="s">
        <v>203</v>
      </c>
      <c r="E586" s="41" t="s">
        <v>14</v>
      </c>
      <c r="F586" s="41" t="s">
        <v>15</v>
      </c>
      <c r="G586" s="41" t="s">
        <v>16</v>
      </c>
      <c r="H586" s="93">
        <v>0</v>
      </c>
      <c r="I586" s="94">
        <f>+H586*K586</f>
        <v>0</v>
      </c>
      <c r="J586" s="95">
        <v>36892</v>
      </c>
      <c r="K586" s="96">
        <v>18500</v>
      </c>
      <c r="L586" s="97" t="s">
        <v>25</v>
      </c>
      <c r="M586" s="98">
        <v>5.35</v>
      </c>
      <c r="N586" s="99">
        <f>K586*M586</f>
        <v>98975</v>
      </c>
      <c r="O586" s="62">
        <f>0.02*K586</f>
        <v>370</v>
      </c>
      <c r="Q586" s="100">
        <v>9.5649999999999995</v>
      </c>
      <c r="T586" s="62">
        <f>(M586-Q586)*K586</f>
        <v>-77977.5</v>
      </c>
      <c r="AB586" s="41" t="s">
        <v>296</v>
      </c>
    </row>
    <row r="587" spans="1:28" x14ac:dyDescent="0.2">
      <c r="A587" s="91">
        <v>75</v>
      </c>
      <c r="B587" s="91" t="s">
        <v>300</v>
      </c>
      <c r="C587" s="92">
        <v>36812</v>
      </c>
      <c r="D587" s="41" t="s">
        <v>203</v>
      </c>
      <c r="E587" s="41" t="s">
        <v>14</v>
      </c>
      <c r="F587" s="41" t="s">
        <v>15</v>
      </c>
      <c r="G587" s="41" t="s">
        <v>16</v>
      </c>
      <c r="H587" s="93">
        <v>0</v>
      </c>
      <c r="I587" s="94">
        <f>+H587*K587</f>
        <v>0</v>
      </c>
      <c r="J587" s="95">
        <v>36923</v>
      </c>
      <c r="K587" s="96">
        <v>18500</v>
      </c>
      <c r="L587" s="97" t="s">
        <v>25</v>
      </c>
      <c r="M587" s="98">
        <v>5.35</v>
      </c>
      <c r="N587" s="99">
        <f>K587*M587</f>
        <v>98975</v>
      </c>
      <c r="O587" s="62">
        <f>0.02*K587</f>
        <v>370</v>
      </c>
      <c r="AB587" s="41" t="s">
        <v>296</v>
      </c>
    </row>
    <row r="588" spans="1:28" x14ac:dyDescent="0.2">
      <c r="A588" s="91">
        <v>75</v>
      </c>
      <c r="B588" s="91" t="s">
        <v>300</v>
      </c>
      <c r="C588" s="92">
        <v>36812</v>
      </c>
      <c r="D588" s="41" t="s">
        <v>203</v>
      </c>
      <c r="E588" s="41" t="s">
        <v>14</v>
      </c>
      <c r="F588" s="41" t="s">
        <v>15</v>
      </c>
      <c r="G588" s="41" t="s">
        <v>16</v>
      </c>
      <c r="H588" s="93">
        <v>0</v>
      </c>
      <c r="I588" s="94">
        <f>+H588*K588</f>
        <v>0</v>
      </c>
      <c r="J588" s="95">
        <v>36951</v>
      </c>
      <c r="K588" s="96">
        <v>18500</v>
      </c>
      <c r="L588" s="97" t="s">
        <v>25</v>
      </c>
      <c r="M588" s="98">
        <v>5.35</v>
      </c>
      <c r="N588" s="99">
        <f>K588*M588</f>
        <v>98975</v>
      </c>
      <c r="O588" s="62">
        <f>0.02*K588</f>
        <v>370</v>
      </c>
      <c r="AB588" s="41" t="s">
        <v>296</v>
      </c>
    </row>
    <row r="590" spans="1:28" x14ac:dyDescent="0.2">
      <c r="A590" s="91">
        <v>76</v>
      </c>
      <c r="B590" s="91" t="s">
        <v>215</v>
      </c>
      <c r="C590" s="92">
        <v>36817</v>
      </c>
      <c r="D590" s="41" t="s">
        <v>54</v>
      </c>
      <c r="E590" s="41" t="s">
        <v>14</v>
      </c>
      <c r="F590" s="41" t="s">
        <v>15</v>
      </c>
      <c r="G590" s="41" t="s">
        <v>16</v>
      </c>
      <c r="H590" s="93">
        <v>0</v>
      </c>
      <c r="I590" s="94">
        <f>+H590*K590</f>
        <v>0</v>
      </c>
      <c r="J590" s="95">
        <v>36831</v>
      </c>
      <c r="K590" s="96">
        <v>120000</v>
      </c>
      <c r="L590" s="97" t="s">
        <v>25</v>
      </c>
      <c r="M590" s="98">
        <v>5.2675000000000001</v>
      </c>
      <c r="N590" s="99">
        <f>K590*M590</f>
        <v>632100</v>
      </c>
      <c r="O590" s="62">
        <f>0.02*K590</f>
        <v>2400</v>
      </c>
      <c r="Q590" s="100">
        <v>4.3099999999999996</v>
      </c>
      <c r="T590" s="62">
        <f>(M590-Q590)*K590</f>
        <v>114900.00000000006</v>
      </c>
      <c r="Y590" s="41" t="s">
        <v>180</v>
      </c>
      <c r="AA590" s="91" t="s">
        <v>202</v>
      </c>
      <c r="AB590" s="41" t="s">
        <v>296</v>
      </c>
    </row>
    <row r="591" spans="1:28" x14ac:dyDescent="0.2">
      <c r="A591" s="91">
        <v>76</v>
      </c>
      <c r="B591" s="91" t="s">
        <v>215</v>
      </c>
      <c r="C591" s="92">
        <v>36817</v>
      </c>
      <c r="D591" s="41" t="s">
        <v>54</v>
      </c>
      <c r="E591" s="41" t="s">
        <v>14</v>
      </c>
      <c r="F591" s="41" t="s">
        <v>15</v>
      </c>
      <c r="G591" s="41" t="s">
        <v>16</v>
      </c>
      <c r="H591" s="93">
        <v>0</v>
      </c>
      <c r="I591" s="94">
        <f>+H591*K591</f>
        <v>0</v>
      </c>
      <c r="J591" s="95">
        <v>36861</v>
      </c>
      <c r="K591" s="96">
        <v>120000</v>
      </c>
      <c r="L591" s="97" t="s">
        <v>25</v>
      </c>
      <c r="M591" s="98">
        <v>5.2675000000000001</v>
      </c>
      <c r="N591" s="99">
        <f>K591*M591</f>
        <v>632100</v>
      </c>
      <c r="O591" s="62">
        <f>0.02*K591</f>
        <v>2400</v>
      </c>
      <c r="Q591" s="100">
        <v>5.7750000000000004</v>
      </c>
      <c r="T591" s="62">
        <f>(M591-Q591)*K591</f>
        <v>-60900.000000000036</v>
      </c>
      <c r="W591" s="102"/>
      <c r="X591" s="102"/>
      <c r="AA591" s="91" t="s">
        <v>202</v>
      </c>
      <c r="AB591" s="41" t="s">
        <v>296</v>
      </c>
    </row>
    <row r="592" spans="1:28" x14ac:dyDescent="0.2">
      <c r="A592" s="91">
        <v>76</v>
      </c>
      <c r="B592" s="91" t="s">
        <v>215</v>
      </c>
      <c r="C592" s="92">
        <v>36817</v>
      </c>
      <c r="D592" s="41" t="s">
        <v>54</v>
      </c>
      <c r="E592" s="41" t="s">
        <v>14</v>
      </c>
      <c r="F592" s="41" t="s">
        <v>15</v>
      </c>
      <c r="G592" s="41" t="s">
        <v>16</v>
      </c>
      <c r="H592" s="93">
        <v>0</v>
      </c>
      <c r="I592" s="94">
        <f>+H592*K592</f>
        <v>0</v>
      </c>
      <c r="J592" s="95">
        <v>36892</v>
      </c>
      <c r="K592" s="96">
        <v>120000</v>
      </c>
      <c r="L592" s="97" t="s">
        <v>25</v>
      </c>
      <c r="M592" s="98">
        <v>5.2675000000000001</v>
      </c>
      <c r="N592" s="99">
        <f>K592*M592</f>
        <v>632100</v>
      </c>
      <c r="O592" s="62">
        <f>0.02*K592</f>
        <v>2400</v>
      </c>
      <c r="Q592" s="100">
        <v>9.5649999999999995</v>
      </c>
      <c r="T592" s="62">
        <f>(M592-Q592)*K592</f>
        <v>-515699.99999999994</v>
      </c>
      <c r="U592" s="62"/>
      <c r="AA592" s="91" t="s">
        <v>202</v>
      </c>
      <c r="AB592" s="41" t="s">
        <v>296</v>
      </c>
    </row>
    <row r="593" spans="1:28" x14ac:dyDescent="0.2">
      <c r="A593" s="91">
        <v>76</v>
      </c>
      <c r="B593" s="91" t="s">
        <v>215</v>
      </c>
      <c r="C593" s="92">
        <v>36817</v>
      </c>
      <c r="D593" s="41" t="s">
        <v>54</v>
      </c>
      <c r="E593" s="41" t="s">
        <v>14</v>
      </c>
      <c r="F593" s="41" t="s">
        <v>15</v>
      </c>
      <c r="G593" s="41" t="s">
        <v>16</v>
      </c>
      <c r="H593" s="93">
        <v>0</v>
      </c>
      <c r="I593" s="94">
        <f>+H593*K593</f>
        <v>0</v>
      </c>
      <c r="J593" s="95">
        <v>36923</v>
      </c>
      <c r="K593" s="96">
        <v>120000</v>
      </c>
      <c r="L593" s="97" t="s">
        <v>25</v>
      </c>
      <c r="M593" s="98">
        <v>5.2675000000000001</v>
      </c>
      <c r="N593" s="99">
        <f>K593*M593</f>
        <v>632100</v>
      </c>
      <c r="O593" s="62">
        <f>0.02*K593</f>
        <v>2400</v>
      </c>
      <c r="R593" s="101">
        <v>8.26</v>
      </c>
      <c r="U593" s="62">
        <f>(M593-R593)*K593</f>
        <v>-359099.99999999994</v>
      </c>
      <c r="AA593" s="91" t="s">
        <v>202</v>
      </c>
      <c r="AB593" s="41" t="s">
        <v>296</v>
      </c>
    </row>
    <row r="594" spans="1:28" x14ac:dyDescent="0.2">
      <c r="A594" s="91">
        <v>76</v>
      </c>
      <c r="B594" s="91" t="s">
        <v>215</v>
      </c>
      <c r="C594" s="92">
        <v>36817</v>
      </c>
      <c r="D594" s="41" t="s">
        <v>54</v>
      </c>
      <c r="E594" s="41" t="s">
        <v>14</v>
      </c>
      <c r="F594" s="41" t="s">
        <v>15</v>
      </c>
      <c r="G594" s="41" t="s">
        <v>16</v>
      </c>
      <c r="H594" s="93">
        <v>0</v>
      </c>
      <c r="I594" s="94">
        <f>+H594*K594</f>
        <v>0</v>
      </c>
      <c r="J594" s="95">
        <v>36951</v>
      </c>
      <c r="K594" s="96">
        <v>120000</v>
      </c>
      <c r="L594" s="97" t="s">
        <v>25</v>
      </c>
      <c r="M594" s="98">
        <v>5.2675000000000001</v>
      </c>
      <c r="N594" s="99">
        <f>K594*M594</f>
        <v>632100</v>
      </c>
      <c r="O594" s="62">
        <f>0.02*K594</f>
        <v>2400</v>
      </c>
      <c r="R594" s="101">
        <v>7.55</v>
      </c>
      <c r="U594" s="62">
        <f>(M594-R594)*K594</f>
        <v>-273899.99999999994</v>
      </c>
      <c r="AA594" s="91" t="s">
        <v>202</v>
      </c>
      <c r="AB594" s="41" t="s">
        <v>296</v>
      </c>
    </row>
    <row r="596" spans="1:28" x14ac:dyDescent="0.2">
      <c r="A596" s="91">
        <v>77</v>
      </c>
      <c r="C596" s="92">
        <v>36818</v>
      </c>
      <c r="D596" s="41" t="s">
        <v>32</v>
      </c>
      <c r="E596" s="41" t="s">
        <v>14</v>
      </c>
      <c r="F596" s="41" t="s">
        <v>15</v>
      </c>
      <c r="G596" s="41" t="s">
        <v>16</v>
      </c>
      <c r="H596" s="93">
        <v>0</v>
      </c>
      <c r="I596" s="94">
        <f t="shared" ref="I596:I605" si="152">+H596*K596</f>
        <v>0</v>
      </c>
      <c r="J596" s="95">
        <v>36951</v>
      </c>
      <c r="K596" s="96">
        <v>75850</v>
      </c>
      <c r="L596" s="97" t="s">
        <v>25</v>
      </c>
      <c r="M596" s="98">
        <v>4.5</v>
      </c>
      <c r="N596" s="99">
        <f t="shared" ref="N596:N605" si="153">K596*M596</f>
        <v>341325</v>
      </c>
      <c r="O596" s="62">
        <f t="shared" ref="O596:O605" si="154">0.04*K596</f>
        <v>3034</v>
      </c>
      <c r="R596" s="101">
        <v>4.2</v>
      </c>
      <c r="U596" s="102">
        <f t="shared" ref="U596:U605" si="155">(M596-R596)*K596</f>
        <v>22754.999999999985</v>
      </c>
      <c r="Y596" s="41" t="s">
        <v>60</v>
      </c>
      <c r="AA596" s="91" t="s">
        <v>201</v>
      </c>
      <c r="AB596" s="41" t="s">
        <v>296</v>
      </c>
    </row>
    <row r="597" spans="1:28" x14ac:dyDescent="0.2">
      <c r="A597" s="91">
        <v>77</v>
      </c>
      <c r="C597" s="92">
        <v>36818</v>
      </c>
      <c r="D597" s="41" t="s">
        <v>32</v>
      </c>
      <c r="E597" s="41" t="s">
        <v>14</v>
      </c>
      <c r="F597" s="41" t="s">
        <v>15</v>
      </c>
      <c r="G597" s="41" t="s">
        <v>16</v>
      </c>
      <c r="H597" s="93">
        <v>0</v>
      </c>
      <c r="I597" s="94">
        <f t="shared" si="152"/>
        <v>0</v>
      </c>
      <c r="J597" s="95">
        <v>36982</v>
      </c>
      <c r="K597" s="96">
        <f t="shared" ref="K597:K605" si="156">+K596</f>
        <v>75850</v>
      </c>
      <c r="L597" s="97" t="s">
        <v>25</v>
      </c>
      <c r="M597" s="98">
        <v>4.5</v>
      </c>
      <c r="N597" s="99">
        <f t="shared" si="153"/>
        <v>341325</v>
      </c>
      <c r="O597" s="62">
        <f t="shared" si="154"/>
        <v>3034</v>
      </c>
      <c r="R597" s="101">
        <v>4.2</v>
      </c>
      <c r="U597" s="102">
        <f t="shared" si="155"/>
        <v>22754.999999999985</v>
      </c>
      <c r="W597" s="102"/>
      <c r="X597" s="102"/>
      <c r="AA597" s="91" t="s">
        <v>201</v>
      </c>
      <c r="AB597" s="41" t="s">
        <v>296</v>
      </c>
    </row>
    <row r="598" spans="1:28" x14ac:dyDescent="0.2">
      <c r="A598" s="91">
        <v>77</v>
      </c>
      <c r="C598" s="92">
        <v>36818</v>
      </c>
      <c r="D598" s="41" t="s">
        <v>32</v>
      </c>
      <c r="E598" s="41" t="s">
        <v>14</v>
      </c>
      <c r="F598" s="41" t="s">
        <v>15</v>
      </c>
      <c r="G598" s="41" t="s">
        <v>16</v>
      </c>
      <c r="H598" s="93">
        <v>0</v>
      </c>
      <c r="I598" s="94">
        <f t="shared" si="152"/>
        <v>0</v>
      </c>
      <c r="J598" s="95">
        <v>37012</v>
      </c>
      <c r="K598" s="96">
        <f t="shared" si="156"/>
        <v>75850</v>
      </c>
      <c r="L598" s="97" t="s">
        <v>25</v>
      </c>
      <c r="M598" s="98">
        <v>4.5</v>
      </c>
      <c r="N598" s="99">
        <f t="shared" si="153"/>
        <v>341325</v>
      </c>
      <c r="O598" s="62">
        <f t="shared" si="154"/>
        <v>3034</v>
      </c>
      <c r="R598" s="101">
        <v>4.2</v>
      </c>
      <c r="U598" s="102">
        <f t="shared" si="155"/>
        <v>22754.999999999985</v>
      </c>
      <c r="AA598" s="91" t="s">
        <v>201</v>
      </c>
      <c r="AB598" s="41" t="s">
        <v>296</v>
      </c>
    </row>
    <row r="599" spans="1:28" x14ac:dyDescent="0.2">
      <c r="A599" s="91">
        <v>77</v>
      </c>
      <c r="C599" s="92">
        <v>36818</v>
      </c>
      <c r="D599" s="41" t="s">
        <v>32</v>
      </c>
      <c r="E599" s="41" t="s">
        <v>14</v>
      </c>
      <c r="F599" s="41" t="s">
        <v>15</v>
      </c>
      <c r="G599" s="41" t="s">
        <v>16</v>
      </c>
      <c r="H599" s="93">
        <v>0</v>
      </c>
      <c r="I599" s="94">
        <f t="shared" si="152"/>
        <v>0</v>
      </c>
      <c r="J599" s="95">
        <v>37043</v>
      </c>
      <c r="K599" s="96">
        <f t="shared" si="156"/>
        <v>75850</v>
      </c>
      <c r="L599" s="97" t="s">
        <v>25</v>
      </c>
      <c r="M599" s="98">
        <v>4.5</v>
      </c>
      <c r="N599" s="99">
        <f t="shared" si="153"/>
        <v>341325</v>
      </c>
      <c r="O599" s="62">
        <f t="shared" si="154"/>
        <v>3034</v>
      </c>
      <c r="R599" s="101">
        <v>4.2</v>
      </c>
      <c r="U599" s="102">
        <f t="shared" si="155"/>
        <v>22754.999999999985</v>
      </c>
      <c r="AA599" s="91" t="s">
        <v>201</v>
      </c>
      <c r="AB599" s="41" t="s">
        <v>296</v>
      </c>
    </row>
    <row r="600" spans="1:28" x14ac:dyDescent="0.2">
      <c r="A600" s="91">
        <v>77</v>
      </c>
      <c r="C600" s="92">
        <v>36818</v>
      </c>
      <c r="D600" s="41" t="s">
        <v>32</v>
      </c>
      <c r="E600" s="41" t="s">
        <v>14</v>
      </c>
      <c r="F600" s="41" t="s">
        <v>15</v>
      </c>
      <c r="G600" s="41" t="s">
        <v>16</v>
      </c>
      <c r="H600" s="93">
        <v>0</v>
      </c>
      <c r="I600" s="94">
        <f t="shared" si="152"/>
        <v>0</v>
      </c>
      <c r="J600" s="95">
        <v>37073</v>
      </c>
      <c r="K600" s="96">
        <f t="shared" si="156"/>
        <v>75850</v>
      </c>
      <c r="L600" s="97" t="s">
        <v>25</v>
      </c>
      <c r="M600" s="98">
        <v>4.5</v>
      </c>
      <c r="N600" s="99">
        <f t="shared" si="153"/>
        <v>341325</v>
      </c>
      <c r="O600" s="62">
        <f t="shared" si="154"/>
        <v>3034</v>
      </c>
      <c r="R600" s="101">
        <v>4.2</v>
      </c>
      <c r="U600" s="102">
        <f t="shared" si="155"/>
        <v>22754.999999999985</v>
      </c>
      <c r="AA600" s="91" t="s">
        <v>201</v>
      </c>
      <c r="AB600" s="41" t="s">
        <v>296</v>
      </c>
    </row>
    <row r="601" spans="1:28" x14ac:dyDescent="0.2">
      <c r="A601" s="91">
        <v>77</v>
      </c>
      <c r="C601" s="92">
        <v>36818</v>
      </c>
      <c r="D601" s="41" t="s">
        <v>32</v>
      </c>
      <c r="E601" s="41" t="s">
        <v>14</v>
      </c>
      <c r="F601" s="41" t="s">
        <v>15</v>
      </c>
      <c r="G601" s="41" t="s">
        <v>16</v>
      </c>
      <c r="H601" s="93">
        <v>0</v>
      </c>
      <c r="I601" s="94">
        <f t="shared" si="152"/>
        <v>0</v>
      </c>
      <c r="J601" s="95">
        <v>37104</v>
      </c>
      <c r="K601" s="96">
        <f t="shared" si="156"/>
        <v>75850</v>
      </c>
      <c r="L601" s="97" t="s">
        <v>25</v>
      </c>
      <c r="M601" s="98">
        <v>4.5</v>
      </c>
      <c r="N601" s="99">
        <f t="shared" si="153"/>
        <v>341325</v>
      </c>
      <c r="O601" s="62">
        <f t="shared" si="154"/>
        <v>3034</v>
      </c>
      <c r="R601" s="101">
        <v>4.2</v>
      </c>
      <c r="U601" s="102">
        <f t="shared" si="155"/>
        <v>22754.999999999985</v>
      </c>
      <c r="AA601" s="91" t="s">
        <v>201</v>
      </c>
      <c r="AB601" s="41" t="s">
        <v>296</v>
      </c>
    </row>
    <row r="602" spans="1:28" x14ac:dyDescent="0.2">
      <c r="A602" s="91">
        <v>77</v>
      </c>
      <c r="C602" s="92">
        <v>36818</v>
      </c>
      <c r="D602" s="41" t="s">
        <v>32</v>
      </c>
      <c r="E602" s="41" t="s">
        <v>14</v>
      </c>
      <c r="F602" s="41" t="s">
        <v>15</v>
      </c>
      <c r="G602" s="41" t="s">
        <v>16</v>
      </c>
      <c r="H602" s="93">
        <v>0</v>
      </c>
      <c r="I602" s="94">
        <f t="shared" si="152"/>
        <v>0</v>
      </c>
      <c r="J602" s="95">
        <v>37135</v>
      </c>
      <c r="K602" s="96">
        <f t="shared" si="156"/>
        <v>75850</v>
      </c>
      <c r="L602" s="97" t="s">
        <v>25</v>
      </c>
      <c r="M602" s="98">
        <v>4.5</v>
      </c>
      <c r="N602" s="99">
        <f t="shared" si="153"/>
        <v>341325</v>
      </c>
      <c r="O602" s="62">
        <f t="shared" si="154"/>
        <v>3034</v>
      </c>
      <c r="R602" s="101">
        <v>4.2</v>
      </c>
      <c r="U602" s="102">
        <f t="shared" si="155"/>
        <v>22754.999999999985</v>
      </c>
      <c r="AA602" s="91" t="s">
        <v>201</v>
      </c>
      <c r="AB602" s="41" t="s">
        <v>296</v>
      </c>
    </row>
    <row r="603" spans="1:28" x14ac:dyDescent="0.2">
      <c r="A603" s="91">
        <v>77</v>
      </c>
      <c r="C603" s="92">
        <v>36818</v>
      </c>
      <c r="D603" s="41" t="s">
        <v>32</v>
      </c>
      <c r="E603" s="41" t="s">
        <v>14</v>
      </c>
      <c r="F603" s="41" t="s">
        <v>15</v>
      </c>
      <c r="G603" s="41" t="s">
        <v>16</v>
      </c>
      <c r="H603" s="93">
        <v>0</v>
      </c>
      <c r="I603" s="94">
        <f t="shared" si="152"/>
        <v>0</v>
      </c>
      <c r="J603" s="95">
        <v>37165</v>
      </c>
      <c r="K603" s="96">
        <f t="shared" si="156"/>
        <v>75850</v>
      </c>
      <c r="L603" s="97" t="s">
        <v>25</v>
      </c>
      <c r="M603" s="98">
        <v>4.5</v>
      </c>
      <c r="N603" s="99">
        <f t="shared" si="153"/>
        <v>341325</v>
      </c>
      <c r="O603" s="62">
        <f t="shared" si="154"/>
        <v>3034</v>
      </c>
      <c r="R603" s="101">
        <v>4.2</v>
      </c>
      <c r="U603" s="102">
        <f t="shared" si="155"/>
        <v>22754.999999999985</v>
      </c>
      <c r="AA603" s="91" t="s">
        <v>201</v>
      </c>
      <c r="AB603" s="41" t="s">
        <v>296</v>
      </c>
    </row>
    <row r="604" spans="1:28" x14ac:dyDescent="0.2">
      <c r="A604" s="91">
        <v>77</v>
      </c>
      <c r="C604" s="92">
        <v>36818</v>
      </c>
      <c r="D604" s="41" t="s">
        <v>32</v>
      </c>
      <c r="E604" s="41" t="s">
        <v>14</v>
      </c>
      <c r="F604" s="41" t="s">
        <v>15</v>
      </c>
      <c r="G604" s="41" t="s">
        <v>16</v>
      </c>
      <c r="H604" s="93">
        <v>0</v>
      </c>
      <c r="I604" s="94">
        <f t="shared" si="152"/>
        <v>0</v>
      </c>
      <c r="J604" s="95">
        <v>37196</v>
      </c>
      <c r="K604" s="96">
        <f t="shared" si="156"/>
        <v>75850</v>
      </c>
      <c r="L604" s="97" t="s">
        <v>25</v>
      </c>
      <c r="M604" s="98">
        <v>4.5</v>
      </c>
      <c r="N604" s="99">
        <f t="shared" si="153"/>
        <v>341325</v>
      </c>
      <c r="O604" s="62">
        <f t="shared" si="154"/>
        <v>3034</v>
      </c>
      <c r="R604" s="101">
        <v>4.2</v>
      </c>
      <c r="U604" s="102">
        <f t="shared" si="155"/>
        <v>22754.999999999985</v>
      </c>
      <c r="AA604" s="91" t="s">
        <v>201</v>
      </c>
      <c r="AB604" s="41" t="s">
        <v>296</v>
      </c>
    </row>
    <row r="605" spans="1:28" x14ac:dyDescent="0.2">
      <c r="A605" s="91">
        <v>77</v>
      </c>
      <c r="C605" s="92">
        <v>36818</v>
      </c>
      <c r="D605" s="41" t="s">
        <v>32</v>
      </c>
      <c r="E605" s="41" t="s">
        <v>14</v>
      </c>
      <c r="F605" s="41" t="s">
        <v>15</v>
      </c>
      <c r="G605" s="41" t="s">
        <v>16</v>
      </c>
      <c r="H605" s="93">
        <v>0</v>
      </c>
      <c r="I605" s="94">
        <f t="shared" si="152"/>
        <v>0</v>
      </c>
      <c r="J605" s="95">
        <v>37226</v>
      </c>
      <c r="K605" s="96">
        <f t="shared" si="156"/>
        <v>75850</v>
      </c>
      <c r="L605" s="97" t="s">
        <v>25</v>
      </c>
      <c r="M605" s="98">
        <v>4.5</v>
      </c>
      <c r="N605" s="99">
        <f t="shared" si="153"/>
        <v>341325</v>
      </c>
      <c r="O605" s="62">
        <f t="shared" si="154"/>
        <v>3034</v>
      </c>
      <c r="R605" s="101">
        <v>4.2</v>
      </c>
      <c r="U605" s="102">
        <f t="shared" si="155"/>
        <v>22754.999999999985</v>
      </c>
      <c r="AA605" s="91" t="s">
        <v>201</v>
      </c>
      <c r="AB605" s="41" t="s">
        <v>296</v>
      </c>
    </row>
    <row r="607" spans="1:28" x14ac:dyDescent="0.2">
      <c r="A607" s="91">
        <v>78</v>
      </c>
      <c r="C607" s="92">
        <v>36818</v>
      </c>
      <c r="D607" s="41" t="s">
        <v>35</v>
      </c>
      <c r="E607" s="41" t="s">
        <v>14</v>
      </c>
      <c r="F607" s="41" t="s">
        <v>15</v>
      </c>
      <c r="G607" s="41" t="s">
        <v>16</v>
      </c>
      <c r="H607" s="93">
        <v>0</v>
      </c>
      <c r="I607" s="94">
        <f t="shared" ref="I607:I616" si="157">+H607*K607</f>
        <v>0</v>
      </c>
      <c r="J607" s="95">
        <v>36951</v>
      </c>
      <c r="K607" s="96">
        <v>20350</v>
      </c>
      <c r="L607" s="97" t="s">
        <v>25</v>
      </c>
      <c r="M607" s="98">
        <v>4.5</v>
      </c>
      <c r="N607" s="99">
        <f t="shared" ref="N607:N616" si="158">K607*M607</f>
        <v>91575</v>
      </c>
      <c r="O607" s="62">
        <f t="shared" ref="O607:O616" si="159">0.04*K607</f>
        <v>814</v>
      </c>
      <c r="R607" s="101">
        <v>4.2</v>
      </c>
      <c r="U607" s="102">
        <f t="shared" ref="U607:U616" si="160">(M607-R607)*K607</f>
        <v>6104.9999999999964</v>
      </c>
      <c r="Y607" s="41" t="s">
        <v>60</v>
      </c>
      <c r="AA607" s="91" t="s">
        <v>201</v>
      </c>
      <c r="AB607" s="41" t="s">
        <v>296</v>
      </c>
    </row>
    <row r="608" spans="1:28" x14ac:dyDescent="0.2">
      <c r="A608" s="91">
        <v>78</v>
      </c>
      <c r="C608" s="92">
        <v>36818</v>
      </c>
      <c r="D608" s="41" t="s">
        <v>35</v>
      </c>
      <c r="E608" s="41" t="s">
        <v>14</v>
      </c>
      <c r="F608" s="41" t="s">
        <v>15</v>
      </c>
      <c r="G608" s="41" t="s">
        <v>16</v>
      </c>
      <c r="H608" s="93">
        <v>0</v>
      </c>
      <c r="I608" s="94">
        <f t="shared" si="157"/>
        <v>0</v>
      </c>
      <c r="J608" s="95">
        <v>36982</v>
      </c>
      <c r="K608" s="96">
        <f t="shared" ref="K608:K616" si="161">+K607</f>
        <v>20350</v>
      </c>
      <c r="L608" s="97" t="s">
        <v>25</v>
      </c>
      <c r="M608" s="98">
        <v>4.5</v>
      </c>
      <c r="N608" s="99">
        <f t="shared" si="158"/>
        <v>91575</v>
      </c>
      <c r="O608" s="62">
        <f t="shared" si="159"/>
        <v>814</v>
      </c>
      <c r="R608" s="101">
        <v>4.2</v>
      </c>
      <c r="U608" s="102">
        <f t="shared" si="160"/>
        <v>6104.9999999999964</v>
      </c>
      <c r="W608" s="102"/>
      <c r="X608" s="102"/>
      <c r="AA608" s="91" t="s">
        <v>201</v>
      </c>
      <c r="AB608" s="41" t="s">
        <v>296</v>
      </c>
    </row>
    <row r="609" spans="1:28" x14ac:dyDescent="0.2">
      <c r="A609" s="91">
        <v>78</v>
      </c>
      <c r="C609" s="92">
        <v>36818</v>
      </c>
      <c r="D609" s="41" t="s">
        <v>35</v>
      </c>
      <c r="E609" s="41" t="s">
        <v>14</v>
      </c>
      <c r="F609" s="41" t="s">
        <v>15</v>
      </c>
      <c r="G609" s="41" t="s">
        <v>16</v>
      </c>
      <c r="H609" s="93">
        <v>0</v>
      </c>
      <c r="I609" s="94">
        <f t="shared" si="157"/>
        <v>0</v>
      </c>
      <c r="J609" s="95">
        <v>37012</v>
      </c>
      <c r="K609" s="96">
        <f t="shared" si="161"/>
        <v>20350</v>
      </c>
      <c r="L609" s="97" t="s">
        <v>25</v>
      </c>
      <c r="M609" s="98">
        <v>4.5</v>
      </c>
      <c r="N609" s="99">
        <f t="shared" si="158"/>
        <v>91575</v>
      </c>
      <c r="O609" s="62">
        <f t="shared" si="159"/>
        <v>814</v>
      </c>
      <c r="R609" s="101">
        <v>4.2</v>
      </c>
      <c r="U609" s="102">
        <f t="shared" si="160"/>
        <v>6104.9999999999964</v>
      </c>
      <c r="AA609" s="91" t="s">
        <v>201</v>
      </c>
      <c r="AB609" s="41" t="s">
        <v>296</v>
      </c>
    </row>
    <row r="610" spans="1:28" x14ac:dyDescent="0.2">
      <c r="A610" s="91">
        <v>78</v>
      </c>
      <c r="C610" s="92">
        <v>36818</v>
      </c>
      <c r="D610" s="41" t="s">
        <v>35</v>
      </c>
      <c r="E610" s="41" t="s">
        <v>14</v>
      </c>
      <c r="F610" s="41" t="s">
        <v>15</v>
      </c>
      <c r="G610" s="41" t="s">
        <v>16</v>
      </c>
      <c r="H610" s="93">
        <v>0</v>
      </c>
      <c r="I610" s="94">
        <f t="shared" si="157"/>
        <v>0</v>
      </c>
      <c r="J610" s="95">
        <v>37043</v>
      </c>
      <c r="K610" s="96">
        <f t="shared" si="161"/>
        <v>20350</v>
      </c>
      <c r="L610" s="97" t="s">
        <v>25</v>
      </c>
      <c r="M610" s="98">
        <v>4.5</v>
      </c>
      <c r="N610" s="99">
        <f t="shared" si="158"/>
        <v>91575</v>
      </c>
      <c r="O610" s="62">
        <f t="shared" si="159"/>
        <v>814</v>
      </c>
      <c r="R610" s="101">
        <v>4.2</v>
      </c>
      <c r="U610" s="102">
        <f t="shared" si="160"/>
        <v>6104.9999999999964</v>
      </c>
      <c r="AA610" s="91" t="s">
        <v>201</v>
      </c>
      <c r="AB610" s="41" t="s">
        <v>296</v>
      </c>
    </row>
    <row r="611" spans="1:28" x14ac:dyDescent="0.2">
      <c r="A611" s="91">
        <v>78</v>
      </c>
      <c r="C611" s="92">
        <v>36818</v>
      </c>
      <c r="D611" s="41" t="s">
        <v>35</v>
      </c>
      <c r="E611" s="41" t="s">
        <v>14</v>
      </c>
      <c r="F611" s="41" t="s">
        <v>15</v>
      </c>
      <c r="G611" s="41" t="s">
        <v>16</v>
      </c>
      <c r="H611" s="93">
        <v>0</v>
      </c>
      <c r="I611" s="94">
        <f t="shared" si="157"/>
        <v>0</v>
      </c>
      <c r="J611" s="95">
        <v>37073</v>
      </c>
      <c r="K611" s="96">
        <f t="shared" si="161"/>
        <v>20350</v>
      </c>
      <c r="L611" s="97" t="s">
        <v>25</v>
      </c>
      <c r="M611" s="98">
        <v>4.5</v>
      </c>
      <c r="N611" s="99">
        <f t="shared" si="158"/>
        <v>91575</v>
      </c>
      <c r="O611" s="62">
        <f t="shared" si="159"/>
        <v>814</v>
      </c>
      <c r="R611" s="101">
        <v>4.2</v>
      </c>
      <c r="U611" s="102">
        <f t="shared" si="160"/>
        <v>6104.9999999999964</v>
      </c>
      <c r="AA611" s="91" t="s">
        <v>201</v>
      </c>
      <c r="AB611" s="41" t="s">
        <v>296</v>
      </c>
    </row>
    <row r="612" spans="1:28" x14ac:dyDescent="0.2">
      <c r="A612" s="91">
        <v>78</v>
      </c>
      <c r="C612" s="92">
        <v>36818</v>
      </c>
      <c r="D612" s="41" t="s">
        <v>35</v>
      </c>
      <c r="E612" s="41" t="s">
        <v>14</v>
      </c>
      <c r="F612" s="41" t="s">
        <v>15</v>
      </c>
      <c r="G612" s="41" t="s">
        <v>16</v>
      </c>
      <c r="H612" s="93">
        <v>0</v>
      </c>
      <c r="I612" s="94">
        <f t="shared" si="157"/>
        <v>0</v>
      </c>
      <c r="J612" s="95">
        <v>37104</v>
      </c>
      <c r="K612" s="96">
        <f t="shared" si="161"/>
        <v>20350</v>
      </c>
      <c r="L612" s="97" t="s">
        <v>25</v>
      </c>
      <c r="M612" s="98">
        <v>4.5</v>
      </c>
      <c r="N612" s="99">
        <f t="shared" si="158"/>
        <v>91575</v>
      </c>
      <c r="O612" s="62">
        <f t="shared" si="159"/>
        <v>814</v>
      </c>
      <c r="R612" s="101">
        <v>4.2</v>
      </c>
      <c r="U612" s="102">
        <f t="shared" si="160"/>
        <v>6104.9999999999964</v>
      </c>
      <c r="AA612" s="91" t="s">
        <v>201</v>
      </c>
      <c r="AB612" s="41" t="s">
        <v>296</v>
      </c>
    </row>
    <row r="613" spans="1:28" x14ac:dyDescent="0.2">
      <c r="A613" s="91">
        <v>78</v>
      </c>
      <c r="C613" s="92">
        <v>36818</v>
      </c>
      <c r="D613" s="41" t="s">
        <v>35</v>
      </c>
      <c r="E613" s="41" t="s">
        <v>14</v>
      </c>
      <c r="F613" s="41" t="s">
        <v>15</v>
      </c>
      <c r="G613" s="41" t="s">
        <v>16</v>
      </c>
      <c r="H613" s="93">
        <v>0</v>
      </c>
      <c r="I613" s="94">
        <f t="shared" si="157"/>
        <v>0</v>
      </c>
      <c r="J613" s="95">
        <v>37135</v>
      </c>
      <c r="K613" s="96">
        <f t="shared" si="161"/>
        <v>20350</v>
      </c>
      <c r="L613" s="97" t="s">
        <v>25</v>
      </c>
      <c r="M613" s="98">
        <v>4.5</v>
      </c>
      <c r="N613" s="99">
        <f t="shared" si="158"/>
        <v>91575</v>
      </c>
      <c r="O613" s="62">
        <f t="shared" si="159"/>
        <v>814</v>
      </c>
      <c r="R613" s="101">
        <v>4.2</v>
      </c>
      <c r="U613" s="102">
        <f t="shared" si="160"/>
        <v>6104.9999999999964</v>
      </c>
      <c r="AA613" s="91" t="s">
        <v>201</v>
      </c>
      <c r="AB613" s="41" t="s">
        <v>296</v>
      </c>
    </row>
    <row r="614" spans="1:28" x14ac:dyDescent="0.2">
      <c r="A614" s="91">
        <v>78</v>
      </c>
      <c r="C614" s="92">
        <v>36818</v>
      </c>
      <c r="D614" s="41" t="s">
        <v>35</v>
      </c>
      <c r="E614" s="41" t="s">
        <v>14</v>
      </c>
      <c r="F614" s="41" t="s">
        <v>15</v>
      </c>
      <c r="G614" s="41" t="s">
        <v>16</v>
      </c>
      <c r="H614" s="93">
        <v>0</v>
      </c>
      <c r="I614" s="94">
        <f t="shared" si="157"/>
        <v>0</v>
      </c>
      <c r="J614" s="95">
        <v>37165</v>
      </c>
      <c r="K614" s="96">
        <f t="shared" si="161"/>
        <v>20350</v>
      </c>
      <c r="L614" s="97" t="s">
        <v>25</v>
      </c>
      <c r="M614" s="98">
        <v>4.5</v>
      </c>
      <c r="N614" s="99">
        <f t="shared" si="158"/>
        <v>91575</v>
      </c>
      <c r="O614" s="62">
        <f t="shared" si="159"/>
        <v>814</v>
      </c>
      <c r="R614" s="101">
        <v>4.2</v>
      </c>
      <c r="U614" s="102">
        <f t="shared" si="160"/>
        <v>6104.9999999999964</v>
      </c>
      <c r="AA614" s="91" t="s">
        <v>201</v>
      </c>
      <c r="AB614" s="41" t="s">
        <v>296</v>
      </c>
    </row>
    <row r="615" spans="1:28" x14ac:dyDescent="0.2">
      <c r="A615" s="91">
        <v>78</v>
      </c>
      <c r="C615" s="92">
        <v>36818</v>
      </c>
      <c r="D615" s="41" t="s">
        <v>35</v>
      </c>
      <c r="E615" s="41" t="s">
        <v>14</v>
      </c>
      <c r="F615" s="41" t="s">
        <v>15</v>
      </c>
      <c r="G615" s="41" t="s">
        <v>16</v>
      </c>
      <c r="H615" s="93">
        <v>0</v>
      </c>
      <c r="I615" s="94">
        <f t="shared" si="157"/>
        <v>0</v>
      </c>
      <c r="J615" s="95">
        <v>37196</v>
      </c>
      <c r="K615" s="96">
        <f t="shared" si="161"/>
        <v>20350</v>
      </c>
      <c r="L615" s="97" t="s">
        <v>25</v>
      </c>
      <c r="M615" s="98">
        <v>4.5</v>
      </c>
      <c r="N615" s="99">
        <f t="shared" si="158"/>
        <v>91575</v>
      </c>
      <c r="O615" s="62">
        <f t="shared" si="159"/>
        <v>814</v>
      </c>
      <c r="R615" s="101">
        <v>4.2</v>
      </c>
      <c r="T615" s="100"/>
      <c r="U615" s="102">
        <f t="shared" si="160"/>
        <v>6104.9999999999964</v>
      </c>
      <c r="AA615" s="91" t="s">
        <v>201</v>
      </c>
      <c r="AB615" s="41" t="s">
        <v>296</v>
      </c>
    </row>
    <row r="616" spans="1:28" x14ac:dyDescent="0.2">
      <c r="A616" s="91">
        <v>78</v>
      </c>
      <c r="C616" s="92">
        <v>36818</v>
      </c>
      <c r="D616" s="41" t="s">
        <v>35</v>
      </c>
      <c r="E616" s="41" t="s">
        <v>14</v>
      </c>
      <c r="F616" s="41" t="s">
        <v>15</v>
      </c>
      <c r="G616" s="41" t="s">
        <v>16</v>
      </c>
      <c r="H616" s="93">
        <v>0</v>
      </c>
      <c r="I616" s="94">
        <f t="shared" si="157"/>
        <v>0</v>
      </c>
      <c r="J616" s="95">
        <v>37226</v>
      </c>
      <c r="K616" s="96">
        <f t="shared" si="161"/>
        <v>20350</v>
      </c>
      <c r="L616" s="97" t="s">
        <v>25</v>
      </c>
      <c r="M616" s="98">
        <v>4.5</v>
      </c>
      <c r="N616" s="99">
        <f t="shared" si="158"/>
        <v>91575</v>
      </c>
      <c r="O616" s="62">
        <f t="shared" si="159"/>
        <v>814</v>
      </c>
      <c r="R616" s="101">
        <v>4.2</v>
      </c>
      <c r="U616" s="102">
        <f t="shared" si="160"/>
        <v>6104.9999999999964</v>
      </c>
      <c r="AA616" s="91" t="s">
        <v>201</v>
      </c>
      <c r="AB616" s="41" t="s">
        <v>296</v>
      </c>
    </row>
    <row r="618" spans="1:28" x14ac:dyDescent="0.2">
      <c r="A618" s="91">
        <v>79</v>
      </c>
      <c r="C618" s="92">
        <v>36818</v>
      </c>
      <c r="D618" s="41" t="s">
        <v>13</v>
      </c>
      <c r="E618" s="41" t="s">
        <v>14</v>
      </c>
      <c r="F618" s="41" t="s">
        <v>19</v>
      </c>
      <c r="G618" s="41" t="s">
        <v>16</v>
      </c>
      <c r="H618" s="93">
        <v>0</v>
      </c>
      <c r="I618" s="94">
        <f t="shared" ref="I618:I624" si="162">+H618*K618</f>
        <v>0</v>
      </c>
      <c r="J618" s="95">
        <v>36951</v>
      </c>
      <c r="K618" s="96">
        <v>21081</v>
      </c>
      <c r="L618" s="97" t="s">
        <v>25</v>
      </c>
      <c r="M618" s="98">
        <v>4.915</v>
      </c>
      <c r="N618" s="99">
        <f t="shared" ref="N618:N624" si="163">K618*M618</f>
        <v>103613.11500000001</v>
      </c>
      <c r="O618" s="62">
        <f t="shared" ref="O618:O624" si="164">0.015*K618</f>
        <v>316.21499999999997</v>
      </c>
      <c r="Y618" s="41" t="s">
        <v>59</v>
      </c>
      <c r="AA618" s="91" t="s">
        <v>202</v>
      </c>
      <c r="AB618" s="41" t="s">
        <v>296</v>
      </c>
    </row>
    <row r="619" spans="1:28" x14ac:dyDescent="0.2">
      <c r="A619" s="91">
        <v>79</v>
      </c>
      <c r="C619" s="92">
        <v>36818</v>
      </c>
      <c r="D619" s="41" t="s">
        <v>13</v>
      </c>
      <c r="E619" s="41" t="s">
        <v>14</v>
      </c>
      <c r="F619" s="41" t="s">
        <v>19</v>
      </c>
      <c r="G619" s="41" t="s">
        <v>16</v>
      </c>
      <c r="H619" s="93">
        <v>0</v>
      </c>
      <c r="I619" s="94">
        <f t="shared" si="162"/>
        <v>0</v>
      </c>
      <c r="J619" s="95">
        <v>36982</v>
      </c>
      <c r="K619" s="96">
        <v>21081</v>
      </c>
      <c r="L619" s="97" t="s">
        <v>25</v>
      </c>
      <c r="M619" s="98">
        <v>4.915</v>
      </c>
      <c r="N619" s="99">
        <f t="shared" si="163"/>
        <v>103613.11500000001</v>
      </c>
      <c r="O619" s="62">
        <f t="shared" si="164"/>
        <v>316.21499999999997</v>
      </c>
      <c r="AA619" s="91" t="s">
        <v>202</v>
      </c>
      <c r="AB619" s="41" t="s">
        <v>296</v>
      </c>
    </row>
    <row r="620" spans="1:28" x14ac:dyDescent="0.2">
      <c r="A620" s="91">
        <v>79</v>
      </c>
      <c r="C620" s="92">
        <v>36818</v>
      </c>
      <c r="D620" s="41" t="s">
        <v>13</v>
      </c>
      <c r="E620" s="41" t="s">
        <v>14</v>
      </c>
      <c r="F620" s="41" t="s">
        <v>19</v>
      </c>
      <c r="G620" s="41" t="s">
        <v>16</v>
      </c>
      <c r="H620" s="93">
        <v>0</v>
      </c>
      <c r="I620" s="94">
        <f t="shared" si="162"/>
        <v>0</v>
      </c>
      <c r="J620" s="95">
        <v>37012</v>
      </c>
      <c r="K620" s="96">
        <v>21081</v>
      </c>
      <c r="L620" s="97" t="s">
        <v>25</v>
      </c>
      <c r="M620" s="98">
        <v>4.915</v>
      </c>
      <c r="N620" s="99">
        <f t="shared" si="163"/>
        <v>103613.11500000001</v>
      </c>
      <c r="O620" s="62">
        <f t="shared" si="164"/>
        <v>316.21499999999997</v>
      </c>
      <c r="AA620" s="91" t="s">
        <v>202</v>
      </c>
      <c r="AB620" s="41" t="s">
        <v>296</v>
      </c>
    </row>
    <row r="621" spans="1:28" x14ac:dyDescent="0.2">
      <c r="A621" s="91">
        <v>79</v>
      </c>
      <c r="C621" s="92">
        <v>36818</v>
      </c>
      <c r="D621" s="41" t="s">
        <v>13</v>
      </c>
      <c r="E621" s="41" t="s">
        <v>14</v>
      </c>
      <c r="F621" s="41" t="s">
        <v>19</v>
      </c>
      <c r="G621" s="41" t="s">
        <v>16</v>
      </c>
      <c r="H621" s="93">
        <v>0</v>
      </c>
      <c r="I621" s="94">
        <f t="shared" si="162"/>
        <v>0</v>
      </c>
      <c r="J621" s="95">
        <v>37043</v>
      </c>
      <c r="K621" s="96">
        <v>21081</v>
      </c>
      <c r="L621" s="97" t="s">
        <v>25</v>
      </c>
      <c r="M621" s="98">
        <v>4.915</v>
      </c>
      <c r="N621" s="99">
        <f t="shared" si="163"/>
        <v>103613.11500000001</v>
      </c>
      <c r="O621" s="62">
        <f t="shared" si="164"/>
        <v>316.21499999999997</v>
      </c>
      <c r="AA621" s="91" t="s">
        <v>202</v>
      </c>
      <c r="AB621" s="41" t="s">
        <v>296</v>
      </c>
    </row>
    <row r="622" spans="1:28" x14ac:dyDescent="0.2">
      <c r="A622" s="91">
        <v>79</v>
      </c>
      <c r="C622" s="92">
        <v>36818</v>
      </c>
      <c r="D622" s="41" t="s">
        <v>13</v>
      </c>
      <c r="E622" s="41" t="s">
        <v>14</v>
      </c>
      <c r="F622" s="41" t="s">
        <v>19</v>
      </c>
      <c r="G622" s="41" t="s">
        <v>16</v>
      </c>
      <c r="H622" s="93">
        <v>0</v>
      </c>
      <c r="I622" s="94">
        <f t="shared" si="162"/>
        <v>0</v>
      </c>
      <c r="J622" s="95">
        <v>37073</v>
      </c>
      <c r="K622" s="96">
        <v>21081</v>
      </c>
      <c r="L622" s="97" t="s">
        <v>25</v>
      </c>
      <c r="M622" s="98">
        <v>4.915</v>
      </c>
      <c r="N622" s="99">
        <f t="shared" si="163"/>
        <v>103613.11500000001</v>
      </c>
      <c r="O622" s="62">
        <f t="shared" si="164"/>
        <v>316.21499999999997</v>
      </c>
      <c r="AA622" s="91" t="s">
        <v>202</v>
      </c>
      <c r="AB622" s="41" t="s">
        <v>296</v>
      </c>
    </row>
    <row r="623" spans="1:28" x14ac:dyDescent="0.2">
      <c r="A623" s="91">
        <v>79</v>
      </c>
      <c r="C623" s="92">
        <v>36818</v>
      </c>
      <c r="D623" s="41" t="s">
        <v>13</v>
      </c>
      <c r="E623" s="41" t="s">
        <v>14</v>
      </c>
      <c r="F623" s="41" t="s">
        <v>19</v>
      </c>
      <c r="G623" s="41" t="s">
        <v>16</v>
      </c>
      <c r="H623" s="93">
        <v>0</v>
      </c>
      <c r="I623" s="94">
        <f t="shared" si="162"/>
        <v>0</v>
      </c>
      <c r="J623" s="95">
        <v>37104</v>
      </c>
      <c r="K623" s="96">
        <v>21081</v>
      </c>
      <c r="L623" s="97" t="s">
        <v>25</v>
      </c>
      <c r="M623" s="98">
        <v>4.915</v>
      </c>
      <c r="N623" s="99">
        <f t="shared" si="163"/>
        <v>103613.11500000001</v>
      </c>
      <c r="O623" s="62">
        <f t="shared" si="164"/>
        <v>316.21499999999997</v>
      </c>
      <c r="AA623" s="91" t="s">
        <v>202</v>
      </c>
      <c r="AB623" s="41" t="s">
        <v>296</v>
      </c>
    </row>
    <row r="624" spans="1:28" x14ac:dyDescent="0.2">
      <c r="A624" s="91">
        <v>79</v>
      </c>
      <c r="C624" s="92">
        <v>36818</v>
      </c>
      <c r="D624" s="41" t="s">
        <v>13</v>
      </c>
      <c r="E624" s="41" t="s">
        <v>14</v>
      </c>
      <c r="F624" s="41" t="s">
        <v>19</v>
      </c>
      <c r="G624" s="41" t="s">
        <v>16</v>
      </c>
      <c r="H624" s="93">
        <v>0</v>
      </c>
      <c r="I624" s="94">
        <f t="shared" si="162"/>
        <v>0</v>
      </c>
      <c r="J624" s="95">
        <v>37135</v>
      </c>
      <c r="K624" s="96">
        <v>21081</v>
      </c>
      <c r="L624" s="97" t="s">
        <v>25</v>
      </c>
      <c r="M624" s="98">
        <v>4.915</v>
      </c>
      <c r="N624" s="99">
        <f t="shared" si="163"/>
        <v>103613.11500000001</v>
      </c>
      <c r="O624" s="62">
        <f t="shared" si="164"/>
        <v>316.21499999999997</v>
      </c>
      <c r="AA624" s="91" t="s">
        <v>202</v>
      </c>
      <c r="AB624" s="41" t="s">
        <v>296</v>
      </c>
    </row>
    <row r="625" spans="1:28" x14ac:dyDescent="0.2">
      <c r="J625" s="95"/>
      <c r="M625" s="98"/>
    </row>
    <row r="626" spans="1:28" x14ac:dyDescent="0.2">
      <c r="A626" s="91">
        <v>80</v>
      </c>
      <c r="B626" s="91" t="s">
        <v>301</v>
      </c>
      <c r="C626" s="92">
        <v>36818</v>
      </c>
      <c r="D626" s="41" t="s">
        <v>216</v>
      </c>
      <c r="F626" s="41" t="s">
        <v>21</v>
      </c>
      <c r="G626" s="41" t="s">
        <v>16</v>
      </c>
      <c r="H626" s="93">
        <v>0</v>
      </c>
      <c r="I626" s="94">
        <f>+H626*K626</f>
        <v>0</v>
      </c>
      <c r="J626" s="95">
        <v>36831</v>
      </c>
      <c r="K626" s="96">
        <v>350000</v>
      </c>
      <c r="L626" s="97" t="s">
        <v>25</v>
      </c>
      <c r="M626" s="98">
        <v>4.9450000000000003</v>
      </c>
      <c r="N626" s="99">
        <f>K626*M626</f>
        <v>1730750</v>
      </c>
      <c r="O626" s="62">
        <f>0.0125*K626</f>
        <v>4375</v>
      </c>
      <c r="Q626" s="100">
        <v>4.46</v>
      </c>
      <c r="T626" s="62">
        <f>(M626-Q626)*K626</f>
        <v>169750.00000000012</v>
      </c>
      <c r="AB626" s="41" t="s">
        <v>297</v>
      </c>
    </row>
    <row r="627" spans="1:28" x14ac:dyDescent="0.2">
      <c r="A627" s="91">
        <v>80</v>
      </c>
      <c r="B627" s="91" t="s">
        <v>301</v>
      </c>
      <c r="C627" s="92">
        <v>36818</v>
      </c>
      <c r="D627" s="41" t="s">
        <v>216</v>
      </c>
      <c r="F627" s="41" t="s">
        <v>21</v>
      </c>
      <c r="G627" s="41" t="s">
        <v>16</v>
      </c>
      <c r="H627" s="93">
        <v>0</v>
      </c>
      <c r="I627" s="94">
        <f>+H627*K627</f>
        <v>0</v>
      </c>
      <c r="J627" s="95">
        <v>36861</v>
      </c>
      <c r="K627" s="96">
        <v>160000</v>
      </c>
      <c r="L627" s="97" t="s">
        <v>25</v>
      </c>
      <c r="M627" s="98">
        <v>5.0449999999999999</v>
      </c>
      <c r="N627" s="99">
        <f>K627*M627</f>
        <v>807200</v>
      </c>
      <c r="O627" s="62">
        <f>0.01*K627</f>
        <v>1600</v>
      </c>
      <c r="Q627" s="100">
        <v>6</v>
      </c>
      <c r="T627" s="62">
        <f>(M627-Q627)*K627</f>
        <v>-152800</v>
      </c>
      <c r="AB627" s="41" t="s">
        <v>297</v>
      </c>
    </row>
    <row r="628" spans="1:28" x14ac:dyDescent="0.2">
      <c r="A628" s="91">
        <v>80</v>
      </c>
      <c r="B628" s="91" t="s">
        <v>301</v>
      </c>
      <c r="C628" s="92">
        <v>36818</v>
      </c>
      <c r="D628" s="41" t="s">
        <v>216</v>
      </c>
      <c r="F628" s="41" t="s">
        <v>21</v>
      </c>
      <c r="G628" s="41" t="s">
        <v>16</v>
      </c>
      <c r="H628" s="93">
        <v>0</v>
      </c>
      <c r="I628" s="94">
        <f>+H628*K628</f>
        <v>0</v>
      </c>
      <c r="J628" s="95">
        <v>36892</v>
      </c>
      <c r="K628" s="96">
        <v>150000</v>
      </c>
      <c r="L628" s="97" t="s">
        <v>25</v>
      </c>
      <c r="M628" s="98">
        <v>5.0650000000000004</v>
      </c>
      <c r="N628" s="99">
        <f>K628*M628</f>
        <v>759750.00000000012</v>
      </c>
      <c r="O628" s="62">
        <f>0.01*K628</f>
        <v>1500</v>
      </c>
      <c r="Q628" s="100">
        <v>9.84</v>
      </c>
      <c r="T628" s="62">
        <f>(M628-Q628)*K628</f>
        <v>-716249.99999999988</v>
      </c>
      <c r="AB628" s="41" t="s">
        <v>297</v>
      </c>
    </row>
    <row r="629" spans="1:28" x14ac:dyDescent="0.2">
      <c r="J629" s="95"/>
      <c r="M629" s="98"/>
    </row>
    <row r="630" spans="1:28" x14ac:dyDescent="0.2">
      <c r="A630" s="91">
        <v>81</v>
      </c>
      <c r="B630" s="91" t="s">
        <v>302</v>
      </c>
      <c r="C630" s="92">
        <v>36818</v>
      </c>
      <c r="D630" s="41" t="s">
        <v>216</v>
      </c>
      <c r="F630" s="41" t="s">
        <v>21</v>
      </c>
      <c r="G630" s="41" t="s">
        <v>33</v>
      </c>
      <c r="H630" s="93">
        <v>0.15</v>
      </c>
      <c r="I630" s="94">
        <f>+H630*K630</f>
        <v>30000</v>
      </c>
      <c r="J630" s="95">
        <v>36861</v>
      </c>
      <c r="K630" s="96">
        <v>200000</v>
      </c>
      <c r="L630" s="97" t="s">
        <v>25</v>
      </c>
      <c r="M630" s="93" t="s">
        <v>218</v>
      </c>
      <c r="O630" s="62">
        <f>0.01*K630</f>
        <v>2000</v>
      </c>
      <c r="Q630" s="100">
        <v>6</v>
      </c>
      <c r="T630" s="62">
        <f>(5.5-Q630)*K630</f>
        <v>-100000</v>
      </c>
      <c r="AB630" s="41" t="s">
        <v>297</v>
      </c>
    </row>
    <row r="631" spans="1:28" x14ac:dyDescent="0.2">
      <c r="A631" s="91">
        <v>81</v>
      </c>
      <c r="B631" s="91" t="s">
        <v>302</v>
      </c>
      <c r="C631" s="92">
        <v>36818</v>
      </c>
      <c r="D631" s="41" t="s">
        <v>216</v>
      </c>
      <c r="F631" s="41" t="s">
        <v>21</v>
      </c>
      <c r="G631" s="41" t="s">
        <v>33</v>
      </c>
      <c r="H631" s="93">
        <v>0.15</v>
      </c>
      <c r="I631" s="94">
        <f>+H631*K631</f>
        <v>30000</v>
      </c>
      <c r="J631" s="95">
        <v>36892</v>
      </c>
      <c r="K631" s="96">
        <v>200000</v>
      </c>
      <c r="L631" s="97" t="s">
        <v>25</v>
      </c>
      <c r="M631" s="93" t="s">
        <v>219</v>
      </c>
      <c r="O631" s="62">
        <f>0.01*K631</f>
        <v>2000</v>
      </c>
      <c r="Q631" s="100">
        <v>9.84</v>
      </c>
      <c r="T631" s="62">
        <f>(5.5-Q631)*K631</f>
        <v>-868000</v>
      </c>
      <c r="AB631" s="41" t="s">
        <v>297</v>
      </c>
    </row>
    <row r="632" spans="1:28" x14ac:dyDescent="0.2">
      <c r="J632" s="95"/>
      <c r="M632" s="98"/>
    </row>
    <row r="633" spans="1:28" x14ac:dyDescent="0.2">
      <c r="A633" s="91">
        <v>82</v>
      </c>
      <c r="B633" s="91" t="s">
        <v>303</v>
      </c>
      <c r="C633" s="92">
        <v>36818</v>
      </c>
      <c r="D633" s="41" t="s">
        <v>217</v>
      </c>
      <c r="F633" s="41" t="s">
        <v>21</v>
      </c>
      <c r="G633" s="41" t="s">
        <v>16</v>
      </c>
      <c r="H633" s="93">
        <v>0</v>
      </c>
      <c r="I633" s="94">
        <f>+H633*K633</f>
        <v>0</v>
      </c>
      <c r="J633" s="95">
        <v>36831</v>
      </c>
      <c r="K633" s="96">
        <v>860000</v>
      </c>
      <c r="L633" s="97" t="s">
        <v>25</v>
      </c>
      <c r="M633" s="98">
        <v>4.9524999999999997</v>
      </c>
      <c r="N633" s="99">
        <f>K633*M633</f>
        <v>4259150</v>
      </c>
      <c r="O633" s="62">
        <f>0.02*K633</f>
        <v>17200</v>
      </c>
      <c r="Q633" s="100">
        <v>4.46</v>
      </c>
      <c r="T633" s="62">
        <f>(M633-Q633)*K633</f>
        <v>423549.99999999977</v>
      </c>
      <c r="AB633" s="41" t="s">
        <v>296</v>
      </c>
    </row>
    <row r="634" spans="1:28" x14ac:dyDescent="0.2">
      <c r="A634" s="91">
        <v>82</v>
      </c>
      <c r="B634" s="91" t="s">
        <v>303</v>
      </c>
      <c r="C634" s="92">
        <v>36818</v>
      </c>
      <c r="D634" s="41" t="s">
        <v>217</v>
      </c>
      <c r="F634" s="41" t="s">
        <v>21</v>
      </c>
      <c r="G634" s="41" t="s">
        <v>16</v>
      </c>
      <c r="H634" s="93">
        <v>0</v>
      </c>
      <c r="I634" s="94">
        <f>+H634*K634</f>
        <v>0</v>
      </c>
      <c r="J634" s="95">
        <v>36861</v>
      </c>
      <c r="K634" s="96">
        <v>60000</v>
      </c>
      <c r="L634" s="97" t="s">
        <v>25</v>
      </c>
      <c r="M634" s="98">
        <v>5.03</v>
      </c>
      <c r="N634" s="99">
        <f>K634*M634</f>
        <v>301800</v>
      </c>
      <c r="O634" s="62">
        <f>0.005*K634</f>
        <v>300</v>
      </c>
      <c r="Q634" s="100">
        <v>6</v>
      </c>
      <c r="T634" s="62">
        <f>(M634-Q634)*K634</f>
        <v>-58199.999999999985</v>
      </c>
      <c r="AB634" s="41" t="s">
        <v>296</v>
      </c>
    </row>
    <row r="635" spans="1:28" x14ac:dyDescent="0.2">
      <c r="A635" s="91">
        <v>82</v>
      </c>
      <c r="B635" s="91" t="s">
        <v>303</v>
      </c>
      <c r="C635" s="92">
        <v>36818</v>
      </c>
      <c r="D635" s="41" t="s">
        <v>217</v>
      </c>
      <c r="F635" s="41" t="s">
        <v>21</v>
      </c>
      <c r="G635" s="41" t="s">
        <v>16</v>
      </c>
      <c r="H635" s="93">
        <v>0</v>
      </c>
      <c r="I635" s="94">
        <f>+H635*K635</f>
        <v>0</v>
      </c>
      <c r="J635" s="95">
        <v>36892</v>
      </c>
      <c r="K635" s="96">
        <v>60000</v>
      </c>
      <c r="L635" s="97" t="s">
        <v>25</v>
      </c>
      <c r="M635" s="98">
        <v>5.07</v>
      </c>
      <c r="N635" s="99">
        <f>K635*M635</f>
        <v>304200</v>
      </c>
      <c r="O635" s="62">
        <f>0.015*K635</f>
        <v>900</v>
      </c>
      <c r="Q635" s="100">
        <v>9.84</v>
      </c>
      <c r="T635" s="62">
        <f>(M635-Q635)*K635</f>
        <v>-286200</v>
      </c>
      <c r="AB635" s="41" t="s">
        <v>296</v>
      </c>
    </row>
    <row r="636" spans="1:28" x14ac:dyDescent="0.2">
      <c r="J636" s="95"/>
      <c r="M636" s="98"/>
    </row>
    <row r="637" spans="1:28" x14ac:dyDescent="0.2">
      <c r="A637" s="91">
        <v>83</v>
      </c>
      <c r="B637" s="91" t="s">
        <v>303</v>
      </c>
      <c r="C637" s="92">
        <v>36818</v>
      </c>
      <c r="D637" s="41" t="s">
        <v>217</v>
      </c>
      <c r="F637" s="41" t="s">
        <v>21</v>
      </c>
      <c r="G637" s="41" t="s">
        <v>33</v>
      </c>
      <c r="H637" s="93">
        <v>0.15</v>
      </c>
      <c r="I637" s="94">
        <f>+H637*K637</f>
        <v>120000</v>
      </c>
      <c r="J637" s="95">
        <v>36861</v>
      </c>
      <c r="K637" s="96">
        <v>800000</v>
      </c>
      <c r="L637" s="97" t="s">
        <v>25</v>
      </c>
      <c r="M637" s="93" t="s">
        <v>218</v>
      </c>
      <c r="O637" s="62">
        <f>0.015*K637</f>
        <v>12000</v>
      </c>
      <c r="Q637" s="100">
        <v>6</v>
      </c>
      <c r="T637" s="62">
        <f>(5.5-Q637)*K637</f>
        <v>-400000</v>
      </c>
      <c r="AB637" s="41" t="s">
        <v>296</v>
      </c>
    </row>
    <row r="638" spans="1:28" x14ac:dyDescent="0.2">
      <c r="A638" s="91">
        <v>83</v>
      </c>
      <c r="B638" s="91" t="s">
        <v>303</v>
      </c>
      <c r="C638" s="92">
        <v>36818</v>
      </c>
      <c r="D638" s="41" t="s">
        <v>217</v>
      </c>
      <c r="F638" s="41" t="s">
        <v>21</v>
      </c>
      <c r="G638" s="41" t="s">
        <v>33</v>
      </c>
      <c r="H638" s="93">
        <v>0.15</v>
      </c>
      <c r="I638" s="94">
        <f>+H638*K638</f>
        <v>120000</v>
      </c>
      <c r="J638" s="95">
        <v>36892</v>
      </c>
      <c r="K638" s="96">
        <v>800000</v>
      </c>
      <c r="L638" s="97" t="s">
        <v>25</v>
      </c>
      <c r="M638" s="93" t="s">
        <v>220</v>
      </c>
      <c r="O638" s="62">
        <f>0.02*K638</f>
        <v>16000</v>
      </c>
      <c r="Q638" s="100">
        <v>9.84</v>
      </c>
      <c r="T638" s="62">
        <f>(5.5-Q638)*K638</f>
        <v>-3472000</v>
      </c>
      <c r="AB638" s="41" t="s">
        <v>296</v>
      </c>
    </row>
    <row r="639" spans="1:28" x14ac:dyDescent="0.2">
      <c r="J639" s="95"/>
      <c r="M639" s="98"/>
    </row>
    <row r="640" spans="1:28" x14ac:dyDescent="0.2">
      <c r="A640" s="91">
        <v>84</v>
      </c>
      <c r="B640" s="91" t="s">
        <v>304</v>
      </c>
      <c r="C640" s="92">
        <v>36818</v>
      </c>
      <c r="D640" s="41" t="s">
        <v>54</v>
      </c>
      <c r="E640" s="41" t="s">
        <v>14</v>
      </c>
      <c r="F640" s="41" t="s">
        <v>15</v>
      </c>
      <c r="G640" s="41" t="s">
        <v>16</v>
      </c>
      <c r="H640" s="93">
        <v>0</v>
      </c>
      <c r="I640" s="94">
        <f>+H640*K640</f>
        <v>0</v>
      </c>
      <c r="J640" s="95">
        <v>36831</v>
      </c>
      <c r="K640" s="96">
        <v>10800</v>
      </c>
      <c r="L640" s="97" t="s">
        <v>25</v>
      </c>
      <c r="M640" s="98">
        <v>4.8600000000000003</v>
      </c>
      <c r="N640" s="99">
        <f>K640*M640</f>
        <v>52488</v>
      </c>
      <c r="O640" s="62">
        <f>0.005*K640</f>
        <v>54</v>
      </c>
      <c r="Q640" s="100">
        <v>4.3099999999999996</v>
      </c>
      <c r="T640" s="62">
        <f>(M640-Q640)*K640</f>
        <v>5940.0000000000073</v>
      </c>
      <c r="Y640" s="41" t="s">
        <v>180</v>
      </c>
      <c r="AA640" s="91" t="s">
        <v>202</v>
      </c>
      <c r="AB640" s="41" t="s">
        <v>296</v>
      </c>
    </row>
    <row r="641" spans="1:28" x14ac:dyDescent="0.2">
      <c r="A641" s="91">
        <v>84</v>
      </c>
      <c r="B641" s="91" t="s">
        <v>304</v>
      </c>
      <c r="C641" s="92">
        <v>36818</v>
      </c>
      <c r="D641" s="41" t="s">
        <v>54</v>
      </c>
      <c r="E641" s="41" t="s">
        <v>14</v>
      </c>
      <c r="F641" s="41" t="s">
        <v>15</v>
      </c>
      <c r="G641" s="41" t="s">
        <v>16</v>
      </c>
      <c r="H641" s="93">
        <v>0</v>
      </c>
      <c r="I641" s="94">
        <f>+H641*K641</f>
        <v>0</v>
      </c>
      <c r="J641" s="95">
        <v>36861</v>
      </c>
      <c r="K641" s="96">
        <f>K640</f>
        <v>10800</v>
      </c>
      <c r="L641" s="97" t="s">
        <v>25</v>
      </c>
      <c r="M641" s="98">
        <v>4.8600000000000003</v>
      </c>
      <c r="N641" s="99">
        <f>K641*M641</f>
        <v>52488</v>
      </c>
      <c r="O641" s="62">
        <f>0.005*K641</f>
        <v>54</v>
      </c>
      <c r="Q641" s="100">
        <v>5.7750000000000004</v>
      </c>
      <c r="T641" s="62">
        <f>(M641-Q641)*K641</f>
        <v>-9882</v>
      </c>
      <c r="W641" s="102"/>
      <c r="X641" s="102"/>
      <c r="AA641" s="91" t="s">
        <v>202</v>
      </c>
      <c r="AB641" s="41" t="s">
        <v>296</v>
      </c>
    </row>
    <row r="642" spans="1:28" x14ac:dyDescent="0.2">
      <c r="A642" s="91">
        <v>84</v>
      </c>
      <c r="B642" s="91" t="s">
        <v>304</v>
      </c>
      <c r="C642" s="92">
        <v>36818</v>
      </c>
      <c r="D642" s="41" t="s">
        <v>54</v>
      </c>
      <c r="E642" s="41" t="s">
        <v>14</v>
      </c>
      <c r="F642" s="41" t="s">
        <v>15</v>
      </c>
      <c r="G642" s="41" t="s">
        <v>16</v>
      </c>
      <c r="H642" s="93">
        <v>0</v>
      </c>
      <c r="I642" s="94">
        <f>+H642*K642</f>
        <v>0</v>
      </c>
      <c r="J642" s="95">
        <v>36892</v>
      </c>
      <c r="K642" s="96">
        <f>K641</f>
        <v>10800</v>
      </c>
      <c r="L642" s="97" t="s">
        <v>25</v>
      </c>
      <c r="M642" s="98">
        <v>4.8600000000000003</v>
      </c>
      <c r="N642" s="99">
        <f>K642*M642</f>
        <v>52488</v>
      </c>
      <c r="O642" s="62">
        <f>0.005*K642</f>
        <v>54</v>
      </c>
      <c r="Q642" s="100">
        <v>9.5649999999999995</v>
      </c>
      <c r="T642" s="62">
        <f>(M642-Q642)*K642</f>
        <v>-50813.999999999993</v>
      </c>
      <c r="U642" s="62"/>
      <c r="AA642" s="91" t="s">
        <v>202</v>
      </c>
      <c r="AB642" s="41" t="s">
        <v>296</v>
      </c>
    </row>
    <row r="643" spans="1:28" x14ac:dyDescent="0.2">
      <c r="A643" s="91">
        <v>84</v>
      </c>
      <c r="B643" s="91" t="s">
        <v>304</v>
      </c>
      <c r="C643" s="92">
        <v>36818</v>
      </c>
      <c r="D643" s="41" t="s">
        <v>54</v>
      </c>
      <c r="E643" s="41" t="s">
        <v>14</v>
      </c>
      <c r="F643" s="41" t="s">
        <v>15</v>
      </c>
      <c r="G643" s="41" t="s">
        <v>16</v>
      </c>
      <c r="H643" s="93">
        <v>0</v>
      </c>
      <c r="I643" s="94">
        <f>+H643*K643</f>
        <v>0</v>
      </c>
      <c r="J643" s="95">
        <v>36923</v>
      </c>
      <c r="K643" s="96">
        <f>K642</f>
        <v>10800</v>
      </c>
      <c r="L643" s="97" t="s">
        <v>25</v>
      </c>
      <c r="M643" s="98">
        <v>4.8600000000000003</v>
      </c>
      <c r="N643" s="99">
        <f>K643*M643</f>
        <v>52488</v>
      </c>
      <c r="O643" s="62">
        <f>0.005*K643</f>
        <v>54</v>
      </c>
      <c r="R643" s="101">
        <v>8.26</v>
      </c>
      <c r="U643" s="62">
        <f>(M643-R643)*K643</f>
        <v>-36719.999999999993</v>
      </c>
      <c r="AA643" s="91" t="s">
        <v>202</v>
      </c>
      <c r="AB643" s="41" t="s">
        <v>296</v>
      </c>
    </row>
    <row r="644" spans="1:28" x14ac:dyDescent="0.2">
      <c r="A644" s="91">
        <v>84</v>
      </c>
      <c r="B644" s="91" t="s">
        <v>304</v>
      </c>
      <c r="C644" s="92">
        <v>36818</v>
      </c>
      <c r="D644" s="41" t="s">
        <v>54</v>
      </c>
      <c r="E644" s="41" t="s">
        <v>14</v>
      </c>
      <c r="F644" s="41" t="s">
        <v>15</v>
      </c>
      <c r="G644" s="41" t="s">
        <v>16</v>
      </c>
      <c r="H644" s="93">
        <v>0</v>
      </c>
      <c r="I644" s="94">
        <f>+H644*K644</f>
        <v>0</v>
      </c>
      <c r="J644" s="95">
        <v>36951</v>
      </c>
      <c r="K644" s="96">
        <f>K643</f>
        <v>10800</v>
      </c>
      <c r="L644" s="97" t="s">
        <v>25</v>
      </c>
      <c r="M644" s="98">
        <v>4.8600000000000003</v>
      </c>
      <c r="N644" s="99">
        <f>K644*M644</f>
        <v>52488</v>
      </c>
      <c r="O644" s="62">
        <f>0.005*K644</f>
        <v>54</v>
      </c>
      <c r="R644" s="101">
        <v>7.55</v>
      </c>
      <c r="U644" s="62">
        <f>(M644-R644)*K644</f>
        <v>-29051.999999999996</v>
      </c>
      <c r="AA644" s="91" t="s">
        <v>202</v>
      </c>
      <c r="AB644" s="41" t="s">
        <v>296</v>
      </c>
    </row>
    <row r="646" spans="1:28" x14ac:dyDescent="0.2">
      <c r="A646" s="91">
        <v>85</v>
      </c>
      <c r="B646" s="91" t="s">
        <v>305</v>
      </c>
      <c r="C646" s="92">
        <v>36818</v>
      </c>
      <c r="D646" s="41" t="s">
        <v>54</v>
      </c>
      <c r="E646" s="41" t="s">
        <v>14</v>
      </c>
      <c r="F646" s="41" t="s">
        <v>15</v>
      </c>
      <c r="G646" s="41" t="s">
        <v>16</v>
      </c>
      <c r="H646" s="93">
        <v>0</v>
      </c>
      <c r="I646" s="94">
        <f t="shared" ref="I646:I656" si="165">+H646*K646</f>
        <v>0</v>
      </c>
      <c r="J646" s="95">
        <v>36831</v>
      </c>
      <c r="K646" s="96">
        <v>120000</v>
      </c>
      <c r="L646" s="97" t="s">
        <v>25</v>
      </c>
      <c r="M646" s="98">
        <v>4.8600000000000003</v>
      </c>
      <c r="N646" s="99">
        <f t="shared" ref="N646:N656" si="166">K646*M646</f>
        <v>583200</v>
      </c>
      <c r="O646" s="62">
        <f>0.02*K646</f>
        <v>2400</v>
      </c>
      <c r="Q646" s="100">
        <v>4.3099999999999996</v>
      </c>
      <c r="T646" s="62">
        <f>(M646-Q646)*K646</f>
        <v>66000.000000000087</v>
      </c>
      <c r="Y646" s="41" t="s">
        <v>180</v>
      </c>
      <c r="AA646" s="91" t="s">
        <v>202</v>
      </c>
      <c r="AB646" s="41" t="s">
        <v>296</v>
      </c>
    </row>
    <row r="647" spans="1:28" x14ac:dyDescent="0.2">
      <c r="A647" s="91">
        <v>85</v>
      </c>
      <c r="B647" s="91" t="s">
        <v>305</v>
      </c>
      <c r="C647" s="92">
        <v>36818</v>
      </c>
      <c r="D647" s="41" t="s">
        <v>54</v>
      </c>
      <c r="E647" s="41" t="s">
        <v>14</v>
      </c>
      <c r="F647" s="41" t="s">
        <v>15</v>
      </c>
      <c r="G647" s="41" t="s">
        <v>16</v>
      </c>
      <c r="H647" s="93">
        <v>0</v>
      </c>
      <c r="I647" s="94">
        <f t="shared" si="165"/>
        <v>0</v>
      </c>
      <c r="J647" s="95">
        <v>36861</v>
      </c>
      <c r="K647" s="96">
        <f>K646</f>
        <v>120000</v>
      </c>
      <c r="L647" s="97" t="s">
        <v>25</v>
      </c>
      <c r="M647" s="98">
        <f>+M646</f>
        <v>4.8600000000000003</v>
      </c>
      <c r="N647" s="99">
        <f t="shared" si="166"/>
        <v>583200</v>
      </c>
      <c r="O647" s="62">
        <f>0.02*K647</f>
        <v>2400</v>
      </c>
      <c r="Q647" s="100">
        <v>5.7750000000000004</v>
      </c>
      <c r="T647" s="62">
        <f>(M647-Q647)*K647</f>
        <v>-109800</v>
      </c>
      <c r="W647" s="102"/>
      <c r="X647" s="102"/>
      <c r="AA647" s="91" t="s">
        <v>202</v>
      </c>
      <c r="AB647" s="41" t="s">
        <v>296</v>
      </c>
    </row>
    <row r="648" spans="1:28" x14ac:dyDescent="0.2">
      <c r="A648" s="91">
        <v>85</v>
      </c>
      <c r="B648" s="91" t="s">
        <v>305</v>
      </c>
      <c r="C648" s="92">
        <v>36818</v>
      </c>
      <c r="D648" s="41" t="s">
        <v>54</v>
      </c>
      <c r="E648" s="41" t="s">
        <v>14</v>
      </c>
      <c r="F648" s="41" t="s">
        <v>15</v>
      </c>
      <c r="G648" s="41" t="s">
        <v>16</v>
      </c>
      <c r="H648" s="93">
        <v>0</v>
      </c>
      <c r="I648" s="94">
        <f t="shared" si="165"/>
        <v>0</v>
      </c>
      <c r="J648" s="95">
        <v>36892</v>
      </c>
      <c r="K648" s="96">
        <f>K647</f>
        <v>120000</v>
      </c>
      <c r="L648" s="97" t="s">
        <v>25</v>
      </c>
      <c r="M648" s="98">
        <f>+M647</f>
        <v>4.8600000000000003</v>
      </c>
      <c r="N648" s="99">
        <f t="shared" si="166"/>
        <v>583200</v>
      </c>
      <c r="O648" s="62">
        <f>0.02*K648</f>
        <v>2400</v>
      </c>
      <c r="Q648" s="100">
        <v>9.5649999999999995</v>
      </c>
      <c r="T648" s="62">
        <f>(M648-Q648)*K648</f>
        <v>-564599.99999999988</v>
      </c>
      <c r="U648" s="62"/>
      <c r="AA648" s="91" t="s">
        <v>202</v>
      </c>
      <c r="AB648" s="41" t="s">
        <v>296</v>
      </c>
    </row>
    <row r="649" spans="1:28" x14ac:dyDescent="0.2">
      <c r="A649" s="91">
        <v>85</v>
      </c>
      <c r="B649" s="91" t="s">
        <v>305</v>
      </c>
      <c r="C649" s="92">
        <v>36818</v>
      </c>
      <c r="D649" s="41" t="s">
        <v>54</v>
      </c>
      <c r="E649" s="41" t="s">
        <v>14</v>
      </c>
      <c r="F649" s="41" t="s">
        <v>15</v>
      </c>
      <c r="G649" s="41" t="s">
        <v>16</v>
      </c>
      <c r="H649" s="93">
        <v>0</v>
      </c>
      <c r="I649" s="94">
        <f t="shared" si="165"/>
        <v>0</v>
      </c>
      <c r="J649" s="95">
        <v>36923</v>
      </c>
      <c r="K649" s="96">
        <f>K648</f>
        <v>120000</v>
      </c>
      <c r="L649" s="97" t="s">
        <v>25</v>
      </c>
      <c r="M649" s="98">
        <f>+M648</f>
        <v>4.8600000000000003</v>
      </c>
      <c r="N649" s="99">
        <f t="shared" si="166"/>
        <v>583200</v>
      </c>
      <c r="O649" s="62">
        <f>0.02*K649</f>
        <v>2400</v>
      </c>
      <c r="R649" s="101">
        <v>8.26</v>
      </c>
      <c r="U649" s="62">
        <f t="shared" ref="U649:U656" si="167">(M649-R649)*K649</f>
        <v>-407999.99999999994</v>
      </c>
      <c r="AA649" s="91" t="s">
        <v>202</v>
      </c>
      <c r="AB649" s="41" t="s">
        <v>296</v>
      </c>
    </row>
    <row r="650" spans="1:28" x14ac:dyDescent="0.2">
      <c r="A650" s="91">
        <v>85</v>
      </c>
      <c r="B650" s="91" t="s">
        <v>305</v>
      </c>
      <c r="C650" s="92">
        <v>36818</v>
      </c>
      <c r="D650" s="41" t="s">
        <v>54</v>
      </c>
      <c r="E650" s="41" t="s">
        <v>14</v>
      </c>
      <c r="F650" s="41" t="s">
        <v>15</v>
      </c>
      <c r="G650" s="41" t="s">
        <v>16</v>
      </c>
      <c r="H650" s="93">
        <v>0</v>
      </c>
      <c r="I650" s="94">
        <f t="shared" si="165"/>
        <v>0</v>
      </c>
      <c r="J650" s="95">
        <v>36951</v>
      </c>
      <c r="K650" s="96">
        <f>K649</f>
        <v>120000</v>
      </c>
      <c r="L650" s="97" t="s">
        <v>25</v>
      </c>
      <c r="M650" s="98">
        <f>+M649</f>
        <v>4.8600000000000003</v>
      </c>
      <c r="N650" s="99">
        <f t="shared" si="166"/>
        <v>583200</v>
      </c>
      <c r="O650" s="62">
        <f>0.02*K650</f>
        <v>2400</v>
      </c>
      <c r="R650" s="101">
        <v>7.55</v>
      </c>
      <c r="U650" s="62">
        <f t="shared" si="167"/>
        <v>-322799.99999999994</v>
      </c>
      <c r="AA650" s="91" t="s">
        <v>202</v>
      </c>
      <c r="AB650" s="41" t="s">
        <v>296</v>
      </c>
    </row>
    <row r="651" spans="1:28" x14ac:dyDescent="0.2">
      <c r="A651" s="91">
        <v>85</v>
      </c>
      <c r="B651" s="91" t="s">
        <v>305</v>
      </c>
      <c r="C651" s="92">
        <v>36818</v>
      </c>
      <c r="D651" s="41" t="s">
        <v>54</v>
      </c>
      <c r="E651" s="41" t="s">
        <v>14</v>
      </c>
      <c r="F651" s="41" t="s">
        <v>15</v>
      </c>
      <c r="G651" s="41" t="s">
        <v>16</v>
      </c>
      <c r="H651" s="93">
        <v>0</v>
      </c>
      <c r="I651" s="94">
        <f t="shared" si="165"/>
        <v>0</v>
      </c>
      <c r="J651" s="95">
        <v>36982</v>
      </c>
      <c r="K651" s="96">
        <v>80000</v>
      </c>
      <c r="L651" s="97" t="s">
        <v>25</v>
      </c>
      <c r="M651" s="98">
        <v>4.3</v>
      </c>
      <c r="N651" s="99">
        <f t="shared" si="166"/>
        <v>344000</v>
      </c>
      <c r="O651" s="62">
        <f t="shared" ref="O651:O656" si="168">0.01*K651</f>
        <v>800</v>
      </c>
      <c r="R651" s="101">
        <v>5.4950000000000001</v>
      </c>
      <c r="U651" s="62">
        <f t="shared" si="167"/>
        <v>-95600.000000000029</v>
      </c>
      <c r="AA651" s="91" t="s">
        <v>202</v>
      </c>
      <c r="AB651" s="41" t="s">
        <v>296</v>
      </c>
    </row>
    <row r="652" spans="1:28" x14ac:dyDescent="0.2">
      <c r="A652" s="91">
        <v>85</v>
      </c>
      <c r="B652" s="91" t="s">
        <v>305</v>
      </c>
      <c r="C652" s="92">
        <v>36818</v>
      </c>
      <c r="D652" s="41" t="s">
        <v>54</v>
      </c>
      <c r="E652" s="41" t="s">
        <v>14</v>
      </c>
      <c r="F652" s="41" t="s">
        <v>15</v>
      </c>
      <c r="G652" s="41" t="s">
        <v>16</v>
      </c>
      <c r="H652" s="93">
        <v>0</v>
      </c>
      <c r="I652" s="94">
        <f t="shared" si="165"/>
        <v>0</v>
      </c>
      <c r="J652" s="95">
        <v>37012</v>
      </c>
      <c r="K652" s="96">
        <f>K651</f>
        <v>80000</v>
      </c>
      <c r="L652" s="97" t="s">
        <v>25</v>
      </c>
      <c r="M652" s="98">
        <f>+M651</f>
        <v>4.3</v>
      </c>
      <c r="N652" s="99">
        <f t="shared" si="166"/>
        <v>344000</v>
      </c>
      <c r="O652" s="62">
        <f t="shared" si="168"/>
        <v>800</v>
      </c>
      <c r="R652" s="101">
        <v>5.0599999999999996</v>
      </c>
      <c r="U652" s="62">
        <f t="shared" si="167"/>
        <v>-60799.999999999985</v>
      </c>
      <c r="AA652" s="91" t="s">
        <v>202</v>
      </c>
      <c r="AB652" s="41" t="s">
        <v>296</v>
      </c>
    </row>
    <row r="653" spans="1:28" x14ac:dyDescent="0.2">
      <c r="A653" s="91">
        <v>85</v>
      </c>
      <c r="B653" s="91" t="s">
        <v>305</v>
      </c>
      <c r="C653" s="92">
        <v>36818</v>
      </c>
      <c r="D653" s="41" t="s">
        <v>54</v>
      </c>
      <c r="E653" s="41" t="s">
        <v>14</v>
      </c>
      <c r="F653" s="41" t="s">
        <v>15</v>
      </c>
      <c r="G653" s="41" t="s">
        <v>16</v>
      </c>
      <c r="H653" s="93">
        <v>0</v>
      </c>
      <c r="I653" s="94">
        <f t="shared" si="165"/>
        <v>0</v>
      </c>
      <c r="J653" s="95">
        <v>37043</v>
      </c>
      <c r="K653" s="96">
        <f>K652</f>
        <v>80000</v>
      </c>
      <c r="L653" s="97" t="s">
        <v>25</v>
      </c>
      <c r="M653" s="98">
        <f>+M652</f>
        <v>4.3</v>
      </c>
      <c r="N653" s="99">
        <f t="shared" si="166"/>
        <v>344000</v>
      </c>
      <c r="O653" s="62">
        <f t="shared" si="168"/>
        <v>800</v>
      </c>
      <c r="R653" s="101">
        <v>4.9800000000000004</v>
      </c>
      <c r="U653" s="62">
        <f t="shared" si="167"/>
        <v>-54400.000000000051</v>
      </c>
      <c r="AA653" s="91" t="s">
        <v>202</v>
      </c>
      <c r="AB653" s="41" t="s">
        <v>296</v>
      </c>
    </row>
    <row r="654" spans="1:28" x14ac:dyDescent="0.2">
      <c r="A654" s="91">
        <v>85</v>
      </c>
      <c r="B654" s="91" t="s">
        <v>305</v>
      </c>
      <c r="C654" s="92">
        <v>36818</v>
      </c>
      <c r="D654" s="41" t="s">
        <v>54</v>
      </c>
      <c r="E654" s="41" t="s">
        <v>14</v>
      </c>
      <c r="F654" s="41" t="s">
        <v>15</v>
      </c>
      <c r="G654" s="41" t="s">
        <v>16</v>
      </c>
      <c r="H654" s="93">
        <v>0</v>
      </c>
      <c r="I654" s="94">
        <f t="shared" si="165"/>
        <v>0</v>
      </c>
      <c r="J654" s="95">
        <v>37073</v>
      </c>
      <c r="K654" s="96">
        <f>K653</f>
        <v>80000</v>
      </c>
      <c r="L654" s="97" t="s">
        <v>25</v>
      </c>
      <c r="M654" s="98">
        <f>+M653</f>
        <v>4.3</v>
      </c>
      <c r="N654" s="99">
        <f t="shared" si="166"/>
        <v>344000</v>
      </c>
      <c r="O654" s="62">
        <f t="shared" si="168"/>
        <v>800</v>
      </c>
      <c r="R654" s="101">
        <v>5.0599999999999996</v>
      </c>
      <c r="U654" s="62">
        <f t="shared" si="167"/>
        <v>-60799.999999999985</v>
      </c>
      <c r="AA654" s="91" t="s">
        <v>202</v>
      </c>
      <c r="AB654" s="41" t="s">
        <v>296</v>
      </c>
    </row>
    <row r="655" spans="1:28" x14ac:dyDescent="0.2">
      <c r="A655" s="91">
        <v>85</v>
      </c>
      <c r="B655" s="91" t="s">
        <v>305</v>
      </c>
      <c r="C655" s="92">
        <v>36818</v>
      </c>
      <c r="D655" s="41" t="s">
        <v>54</v>
      </c>
      <c r="E655" s="41" t="s">
        <v>14</v>
      </c>
      <c r="F655" s="41" t="s">
        <v>15</v>
      </c>
      <c r="G655" s="41" t="s">
        <v>16</v>
      </c>
      <c r="H655" s="93">
        <v>0</v>
      </c>
      <c r="I655" s="94">
        <f t="shared" si="165"/>
        <v>0</v>
      </c>
      <c r="J655" s="95">
        <v>37104</v>
      </c>
      <c r="K655" s="96">
        <f>K654</f>
        <v>80000</v>
      </c>
      <c r="L655" s="97" t="s">
        <v>25</v>
      </c>
      <c r="M655" s="98">
        <f>+M654</f>
        <v>4.3</v>
      </c>
      <c r="N655" s="99">
        <f t="shared" si="166"/>
        <v>344000</v>
      </c>
      <c r="O655" s="62">
        <f t="shared" si="168"/>
        <v>800</v>
      </c>
      <c r="R655" s="101">
        <v>4.99</v>
      </c>
      <c r="U655" s="62">
        <f t="shared" si="167"/>
        <v>-55200.000000000029</v>
      </c>
      <c r="AA655" s="91" t="s">
        <v>202</v>
      </c>
      <c r="AB655" s="41" t="s">
        <v>296</v>
      </c>
    </row>
    <row r="656" spans="1:28" x14ac:dyDescent="0.2">
      <c r="A656" s="91">
        <v>85</v>
      </c>
      <c r="B656" s="91" t="s">
        <v>305</v>
      </c>
      <c r="C656" s="92">
        <v>36818</v>
      </c>
      <c r="D656" s="41" t="s">
        <v>54</v>
      </c>
      <c r="E656" s="41" t="s">
        <v>14</v>
      </c>
      <c r="F656" s="41" t="s">
        <v>15</v>
      </c>
      <c r="G656" s="41" t="s">
        <v>16</v>
      </c>
      <c r="H656" s="93">
        <v>0</v>
      </c>
      <c r="I656" s="94">
        <f t="shared" si="165"/>
        <v>0</v>
      </c>
      <c r="J656" s="95">
        <v>37135</v>
      </c>
      <c r="K656" s="96">
        <f>K655</f>
        <v>80000</v>
      </c>
      <c r="L656" s="97" t="s">
        <v>25</v>
      </c>
      <c r="M656" s="98">
        <f>+M655</f>
        <v>4.3</v>
      </c>
      <c r="N656" s="99">
        <f t="shared" si="166"/>
        <v>344000</v>
      </c>
      <c r="O656" s="62">
        <f t="shared" si="168"/>
        <v>800</v>
      </c>
      <c r="R656" s="101">
        <v>4.9450000000000003</v>
      </c>
      <c r="U656" s="62">
        <f t="shared" si="167"/>
        <v>-51600.000000000036</v>
      </c>
      <c r="AA656" s="91" t="s">
        <v>202</v>
      </c>
      <c r="AB656" s="41" t="s">
        <v>296</v>
      </c>
    </row>
    <row r="658" spans="1:28" x14ac:dyDescent="0.2">
      <c r="A658" s="91">
        <v>86</v>
      </c>
      <c r="B658" s="91" t="s">
        <v>306</v>
      </c>
      <c r="C658" s="92">
        <v>36819</v>
      </c>
      <c r="D658" s="41" t="s">
        <v>221</v>
      </c>
      <c r="F658" s="41" t="s">
        <v>21</v>
      </c>
      <c r="G658" s="41" t="s">
        <v>33</v>
      </c>
      <c r="H658" s="93">
        <v>0</v>
      </c>
      <c r="I658" s="94">
        <f>+H658*K658</f>
        <v>0</v>
      </c>
      <c r="J658" s="95">
        <v>36831</v>
      </c>
      <c r="K658" s="96">
        <v>610000</v>
      </c>
      <c r="L658" s="97" t="s">
        <v>25</v>
      </c>
      <c r="M658" s="93" t="s">
        <v>219</v>
      </c>
      <c r="O658" s="62">
        <f>0.0075*K658</f>
        <v>4575</v>
      </c>
      <c r="Q658" s="100">
        <v>4.46</v>
      </c>
      <c r="T658" s="62">
        <f>(4.5-Q658)*K658</f>
        <v>24400.000000000022</v>
      </c>
      <c r="AB658" s="41" t="s">
        <v>296</v>
      </c>
    </row>
    <row r="659" spans="1:28" x14ac:dyDescent="0.2">
      <c r="A659" s="91">
        <v>86</v>
      </c>
      <c r="B659" s="91" t="s">
        <v>306</v>
      </c>
      <c r="C659" s="92">
        <v>36819</v>
      </c>
      <c r="D659" s="41" t="s">
        <v>221</v>
      </c>
      <c r="F659" s="41" t="s">
        <v>21</v>
      </c>
      <c r="G659" s="41" t="s">
        <v>33</v>
      </c>
      <c r="H659" s="93">
        <v>0.14000000000000001</v>
      </c>
      <c r="I659" s="94">
        <f>+H659*K659</f>
        <v>88200.000000000015</v>
      </c>
      <c r="J659" s="95">
        <v>36861</v>
      </c>
      <c r="K659" s="96">
        <v>630000</v>
      </c>
      <c r="L659" s="97" t="s">
        <v>25</v>
      </c>
      <c r="M659" s="93" t="s">
        <v>223</v>
      </c>
      <c r="O659" s="62">
        <f>0.045*K659</f>
        <v>28350</v>
      </c>
      <c r="Q659" s="100">
        <v>6</v>
      </c>
      <c r="T659" s="62">
        <f>(Q659-5.5)*K659</f>
        <v>315000</v>
      </c>
      <c r="AB659" s="41" t="s">
        <v>296</v>
      </c>
    </row>
    <row r="660" spans="1:28" x14ac:dyDescent="0.2">
      <c r="A660" s="91">
        <v>86</v>
      </c>
      <c r="B660" s="91" t="s">
        <v>306</v>
      </c>
      <c r="C660" s="92">
        <v>36819</v>
      </c>
      <c r="D660" s="41" t="s">
        <v>221</v>
      </c>
      <c r="F660" s="41" t="s">
        <v>21</v>
      </c>
      <c r="G660" s="41" t="s">
        <v>33</v>
      </c>
      <c r="H660" s="93">
        <v>0.15</v>
      </c>
      <c r="I660" s="94">
        <f>+H660*K660</f>
        <v>94500</v>
      </c>
      <c r="J660" s="95">
        <v>36892</v>
      </c>
      <c r="K660" s="96">
        <v>630000</v>
      </c>
      <c r="L660" s="97" t="s">
        <v>25</v>
      </c>
      <c r="M660" s="93" t="s">
        <v>223</v>
      </c>
      <c r="O660" s="62">
        <f>0.01*K660</f>
        <v>6300</v>
      </c>
      <c r="Q660" s="100">
        <v>9.84</v>
      </c>
      <c r="T660" s="62">
        <f>(5.5-Q660)*K660</f>
        <v>-2734200</v>
      </c>
      <c r="AB660" s="41" t="s">
        <v>296</v>
      </c>
    </row>
    <row r="661" spans="1:28" x14ac:dyDescent="0.2">
      <c r="J661" s="95"/>
      <c r="M661" s="98"/>
    </row>
    <row r="662" spans="1:28" x14ac:dyDescent="0.2">
      <c r="A662" s="91">
        <v>87</v>
      </c>
      <c r="C662" s="92">
        <v>36819</v>
      </c>
      <c r="D662" s="41" t="s">
        <v>222</v>
      </c>
      <c r="F662" s="41" t="s">
        <v>21</v>
      </c>
      <c r="G662" s="41" t="s">
        <v>33</v>
      </c>
      <c r="H662" s="93">
        <v>0</v>
      </c>
      <c r="I662" s="94">
        <f>+H662*K662</f>
        <v>0</v>
      </c>
      <c r="J662" s="95">
        <v>36831</v>
      </c>
      <c r="K662" s="96">
        <v>30000</v>
      </c>
      <c r="L662" s="97" t="s">
        <v>25</v>
      </c>
      <c r="M662" s="93" t="s">
        <v>219</v>
      </c>
      <c r="O662" s="62">
        <f>0.0075*K662</f>
        <v>225</v>
      </c>
      <c r="Q662" s="100">
        <v>4.46</v>
      </c>
      <c r="T662" s="62">
        <f>(4.5-Q662)*K662</f>
        <v>1200.0000000000011</v>
      </c>
      <c r="AB662" s="41" t="s">
        <v>296</v>
      </c>
    </row>
    <row r="663" spans="1:28" x14ac:dyDescent="0.2">
      <c r="A663" s="91">
        <v>87</v>
      </c>
      <c r="C663" s="92">
        <v>36819</v>
      </c>
      <c r="D663" s="41" t="s">
        <v>222</v>
      </c>
      <c r="F663" s="41" t="s">
        <v>21</v>
      </c>
      <c r="G663" s="41" t="s">
        <v>33</v>
      </c>
      <c r="H663" s="93">
        <v>0.14000000000000001</v>
      </c>
      <c r="I663" s="94">
        <f>+H663*K663</f>
        <v>4200</v>
      </c>
      <c r="J663" s="95">
        <v>36861</v>
      </c>
      <c r="K663" s="96">
        <v>30000</v>
      </c>
      <c r="L663" s="97" t="s">
        <v>25</v>
      </c>
      <c r="M663" s="93" t="s">
        <v>223</v>
      </c>
      <c r="O663" s="62">
        <f>0.045*K663</f>
        <v>1350</v>
      </c>
      <c r="Q663" s="100">
        <v>6</v>
      </c>
      <c r="T663" s="62">
        <f>(Q663-5.5)*K663</f>
        <v>15000</v>
      </c>
      <c r="AB663" s="41" t="s">
        <v>296</v>
      </c>
    </row>
    <row r="664" spans="1:28" x14ac:dyDescent="0.2">
      <c r="A664" s="91">
        <v>87</v>
      </c>
      <c r="C664" s="92">
        <v>36819</v>
      </c>
      <c r="D664" s="41" t="s">
        <v>222</v>
      </c>
      <c r="F664" s="41" t="s">
        <v>21</v>
      </c>
      <c r="G664" s="41" t="s">
        <v>33</v>
      </c>
      <c r="H664" s="93">
        <v>0.15</v>
      </c>
      <c r="I664" s="94">
        <f>+H664*K664</f>
        <v>4500</v>
      </c>
      <c r="J664" s="95">
        <v>36892</v>
      </c>
      <c r="K664" s="96">
        <v>30000</v>
      </c>
      <c r="L664" s="97" t="s">
        <v>25</v>
      </c>
      <c r="M664" s="93" t="s">
        <v>223</v>
      </c>
      <c r="O664" s="62">
        <f>0.01*K664</f>
        <v>300</v>
      </c>
      <c r="Q664" s="100">
        <v>9.84</v>
      </c>
      <c r="T664" s="62">
        <f>(5.5-Q664)*K664</f>
        <v>-130200</v>
      </c>
      <c r="AB664" s="41" t="s">
        <v>296</v>
      </c>
    </row>
    <row r="666" spans="1:28" x14ac:dyDescent="0.2">
      <c r="A666" s="91">
        <v>88</v>
      </c>
      <c r="B666" s="91" t="s">
        <v>307</v>
      </c>
      <c r="C666" s="92">
        <v>36819</v>
      </c>
      <c r="D666" s="41" t="s">
        <v>221</v>
      </c>
      <c r="F666" s="41" t="s">
        <v>21</v>
      </c>
      <c r="G666" s="41" t="s">
        <v>16</v>
      </c>
      <c r="H666" s="93">
        <v>0</v>
      </c>
      <c r="I666" s="94">
        <f>+H666*K666</f>
        <v>0</v>
      </c>
      <c r="J666" s="95">
        <v>36831</v>
      </c>
      <c r="K666" s="96">
        <v>60000</v>
      </c>
      <c r="L666" s="97" t="s">
        <v>25</v>
      </c>
      <c r="M666" s="98">
        <v>4.92</v>
      </c>
      <c r="N666" s="99">
        <f>K666*M666</f>
        <v>295200</v>
      </c>
      <c r="O666" s="62">
        <f>0.0425*K666</f>
        <v>2550</v>
      </c>
      <c r="Q666" s="100">
        <v>4.46</v>
      </c>
      <c r="T666" s="62">
        <f>(M666-Q666)*K666</f>
        <v>27599.999999999996</v>
      </c>
      <c r="AB666" s="41" t="s">
        <v>296</v>
      </c>
    </row>
    <row r="667" spans="1:28" x14ac:dyDescent="0.2">
      <c r="A667" s="91">
        <v>88</v>
      </c>
      <c r="B667" s="91" t="s">
        <v>307</v>
      </c>
      <c r="C667" s="92">
        <v>36819</v>
      </c>
      <c r="D667" s="41" t="s">
        <v>221</v>
      </c>
      <c r="F667" s="41" t="s">
        <v>21</v>
      </c>
      <c r="G667" s="41" t="s">
        <v>16</v>
      </c>
      <c r="H667" s="93">
        <v>0</v>
      </c>
      <c r="I667" s="94">
        <f>+H667*K667</f>
        <v>0</v>
      </c>
      <c r="J667" s="95">
        <v>36861</v>
      </c>
      <c r="K667" s="96">
        <v>60000</v>
      </c>
      <c r="L667" s="97" t="s">
        <v>25</v>
      </c>
      <c r="M667" s="98">
        <v>5.01</v>
      </c>
      <c r="N667" s="99">
        <f>K667*M667</f>
        <v>300600</v>
      </c>
      <c r="O667" s="62">
        <f>0.0375*K667</f>
        <v>2250</v>
      </c>
      <c r="Q667" s="100">
        <v>6</v>
      </c>
      <c r="T667" s="62">
        <f>(M667-Q667)*K667</f>
        <v>-59400.000000000015</v>
      </c>
      <c r="AB667" s="41" t="s">
        <v>296</v>
      </c>
    </row>
    <row r="668" spans="1:28" x14ac:dyDescent="0.2">
      <c r="A668" s="91">
        <v>88</v>
      </c>
      <c r="B668" s="91" t="s">
        <v>307</v>
      </c>
      <c r="C668" s="92">
        <v>36819</v>
      </c>
      <c r="D668" s="41" t="s">
        <v>221</v>
      </c>
      <c r="F668" s="41" t="s">
        <v>21</v>
      </c>
      <c r="G668" s="41" t="s">
        <v>16</v>
      </c>
      <c r="H668" s="93">
        <v>0</v>
      </c>
      <c r="I668" s="94">
        <f>+H668*K668</f>
        <v>0</v>
      </c>
      <c r="J668" s="95">
        <v>36892</v>
      </c>
      <c r="K668" s="96">
        <v>60000</v>
      </c>
      <c r="L668" s="97" t="s">
        <v>25</v>
      </c>
      <c r="M668" s="98">
        <v>5.01</v>
      </c>
      <c r="N668" s="99">
        <f>K668*M668</f>
        <v>300600</v>
      </c>
      <c r="O668" s="62">
        <f>0.0275*K668</f>
        <v>1650</v>
      </c>
      <c r="Q668" s="100">
        <v>9.84</v>
      </c>
      <c r="T668" s="62">
        <f>(M668-Q668)*K668</f>
        <v>-289800</v>
      </c>
      <c r="AB668" s="41" t="s">
        <v>296</v>
      </c>
    </row>
    <row r="670" spans="1:28" x14ac:dyDescent="0.2">
      <c r="A670" s="91">
        <v>89</v>
      </c>
      <c r="C670" s="92">
        <v>36819</v>
      </c>
      <c r="D670" s="41" t="s">
        <v>222</v>
      </c>
      <c r="F670" s="41" t="s">
        <v>21</v>
      </c>
      <c r="G670" s="41" t="s">
        <v>16</v>
      </c>
      <c r="H670" s="93">
        <v>0</v>
      </c>
      <c r="I670" s="94">
        <f>+H670*K670</f>
        <v>0</v>
      </c>
      <c r="J670" s="95">
        <v>36831</v>
      </c>
      <c r="K670" s="96">
        <v>60000</v>
      </c>
      <c r="L670" s="97" t="s">
        <v>25</v>
      </c>
      <c r="M670" s="98">
        <v>4.92</v>
      </c>
      <c r="N670" s="99">
        <f>K670*M670</f>
        <v>295200</v>
      </c>
      <c r="O670" s="62">
        <f>0.0425*K670</f>
        <v>2550</v>
      </c>
      <c r="Q670" s="100">
        <v>4.46</v>
      </c>
      <c r="T670" s="62">
        <f>(M670-Q670)*K670</f>
        <v>27599.999999999996</v>
      </c>
      <c r="AB670" s="41" t="s">
        <v>296</v>
      </c>
    </row>
    <row r="671" spans="1:28" x14ac:dyDescent="0.2">
      <c r="A671" s="91">
        <v>89</v>
      </c>
      <c r="C671" s="92">
        <v>36819</v>
      </c>
      <c r="D671" s="41" t="s">
        <v>222</v>
      </c>
      <c r="F671" s="41" t="s">
        <v>21</v>
      </c>
      <c r="G671" s="41" t="s">
        <v>16</v>
      </c>
      <c r="H671" s="93">
        <v>0</v>
      </c>
      <c r="I671" s="94">
        <f>+H671*K671</f>
        <v>0</v>
      </c>
      <c r="J671" s="95">
        <v>36861</v>
      </c>
      <c r="K671" s="96">
        <v>60000</v>
      </c>
      <c r="L671" s="97" t="s">
        <v>25</v>
      </c>
      <c r="M671" s="98">
        <v>5.01</v>
      </c>
      <c r="N671" s="99">
        <f>K671*M671</f>
        <v>300600</v>
      </c>
      <c r="O671" s="62">
        <f>0.0375*K671</f>
        <v>2250</v>
      </c>
      <c r="Q671" s="100">
        <v>6</v>
      </c>
      <c r="T671" s="62">
        <f>(M671-Q671)*K671</f>
        <v>-59400.000000000015</v>
      </c>
      <c r="AB671" s="41" t="s">
        <v>296</v>
      </c>
    </row>
    <row r="672" spans="1:28" x14ac:dyDescent="0.2">
      <c r="A672" s="91">
        <v>89</v>
      </c>
      <c r="C672" s="92">
        <v>36819</v>
      </c>
      <c r="D672" s="41" t="s">
        <v>222</v>
      </c>
      <c r="F672" s="41" t="s">
        <v>21</v>
      </c>
      <c r="G672" s="41" t="s">
        <v>16</v>
      </c>
      <c r="H672" s="93">
        <v>0</v>
      </c>
      <c r="I672" s="94">
        <f>+H672*K672</f>
        <v>0</v>
      </c>
      <c r="J672" s="95">
        <v>36892</v>
      </c>
      <c r="K672" s="96">
        <v>60000</v>
      </c>
      <c r="L672" s="97" t="s">
        <v>25</v>
      </c>
      <c r="M672" s="98">
        <v>5.01</v>
      </c>
      <c r="N672" s="99">
        <f>K672*M672</f>
        <v>300600</v>
      </c>
      <c r="O672" s="62">
        <f>0.0275*K672</f>
        <v>1650</v>
      </c>
      <c r="Q672" s="100">
        <v>9.84</v>
      </c>
      <c r="T672" s="62">
        <f>(M672-Q672)*K672</f>
        <v>-289800</v>
      </c>
      <c r="AB672" s="41" t="s">
        <v>296</v>
      </c>
    </row>
    <row r="674" spans="1:28" x14ac:dyDescent="0.2">
      <c r="A674" s="91">
        <v>90</v>
      </c>
      <c r="C674" s="92">
        <v>36819</v>
      </c>
      <c r="D674" s="41" t="s">
        <v>20</v>
      </c>
      <c r="E674" s="41" t="s">
        <v>14</v>
      </c>
      <c r="F674" s="41" t="s">
        <v>21</v>
      </c>
      <c r="G674" s="41" t="s">
        <v>16</v>
      </c>
      <c r="H674" s="93">
        <v>0</v>
      </c>
      <c r="I674" s="94">
        <f>+H674*K674</f>
        <v>0</v>
      </c>
      <c r="J674" s="95">
        <v>36892</v>
      </c>
      <c r="K674" s="96">
        <v>40000</v>
      </c>
      <c r="L674" s="97" t="s">
        <v>25</v>
      </c>
      <c r="M674" s="98">
        <v>4.9749999999999996</v>
      </c>
      <c r="N674" s="99">
        <f>K674*M674</f>
        <v>199000</v>
      </c>
      <c r="O674" s="62">
        <f>0.0025*K674</f>
        <v>100</v>
      </c>
      <c r="Q674" s="100">
        <v>9.84</v>
      </c>
      <c r="T674" s="62">
        <f>(M674-Q674)*K674</f>
        <v>-194600</v>
      </c>
      <c r="Y674" s="41" t="s">
        <v>205</v>
      </c>
      <c r="AB674" s="41" t="s">
        <v>296</v>
      </c>
    </row>
    <row r="676" spans="1:28" x14ac:dyDescent="0.2">
      <c r="A676" s="91">
        <v>91</v>
      </c>
      <c r="B676" s="91" t="s">
        <v>308</v>
      </c>
      <c r="C676" s="92">
        <v>36822</v>
      </c>
      <c r="D676" s="41" t="s">
        <v>54</v>
      </c>
      <c r="E676" s="41" t="s">
        <v>14</v>
      </c>
      <c r="F676" s="41" t="s">
        <v>15</v>
      </c>
      <c r="G676" s="41" t="s">
        <v>16</v>
      </c>
      <c r="H676" s="93">
        <v>0</v>
      </c>
      <c r="I676" s="94">
        <f>+H676*K676</f>
        <v>0</v>
      </c>
      <c r="J676" s="95">
        <v>36831</v>
      </c>
      <c r="K676" s="96">
        <v>93700</v>
      </c>
      <c r="L676" s="97" t="s">
        <v>25</v>
      </c>
      <c r="M676" s="98">
        <v>4.8</v>
      </c>
      <c r="N676" s="99">
        <f>K676*M676</f>
        <v>449760</v>
      </c>
      <c r="O676" s="62">
        <f>0.027*K676</f>
        <v>2529.9</v>
      </c>
      <c r="Q676" s="100">
        <v>4.3099999999999996</v>
      </c>
      <c r="T676" s="62">
        <f>(M676-Q676)*K676</f>
        <v>45913.000000000022</v>
      </c>
      <c r="Y676" s="41" t="s">
        <v>180</v>
      </c>
      <c r="AA676" s="91" t="s">
        <v>202</v>
      </c>
      <c r="AB676" s="41" t="s">
        <v>296</v>
      </c>
    </row>
    <row r="677" spans="1:28" x14ac:dyDescent="0.2">
      <c r="A677" s="91">
        <v>91</v>
      </c>
      <c r="B677" s="91" t="s">
        <v>308</v>
      </c>
      <c r="C677" s="92">
        <v>36822</v>
      </c>
      <c r="D677" s="41" t="s">
        <v>54</v>
      </c>
      <c r="E677" s="41" t="s">
        <v>14</v>
      </c>
      <c r="F677" s="41" t="s">
        <v>15</v>
      </c>
      <c r="G677" s="41" t="s">
        <v>16</v>
      </c>
      <c r="H677" s="93">
        <v>0</v>
      </c>
      <c r="I677" s="94">
        <f>+H677*K677</f>
        <v>0</v>
      </c>
      <c r="J677" s="95">
        <v>36861</v>
      </c>
      <c r="K677" s="96">
        <v>96600</v>
      </c>
      <c r="L677" s="97" t="s">
        <v>25</v>
      </c>
      <c r="M677" s="98">
        <f>+M676</f>
        <v>4.8</v>
      </c>
      <c r="N677" s="99">
        <f>K677*M677</f>
        <v>463680</v>
      </c>
      <c r="O677" s="62">
        <f>0.027*K677</f>
        <v>2608.1999999999998</v>
      </c>
      <c r="Q677" s="100">
        <v>5.7750000000000004</v>
      </c>
      <c r="T677" s="62">
        <f>(M677-Q677)*K677</f>
        <v>-94185.000000000058</v>
      </c>
      <c r="W677" s="102"/>
      <c r="X677" s="102"/>
      <c r="AA677" s="91" t="s">
        <v>202</v>
      </c>
      <c r="AB677" s="41" t="s">
        <v>296</v>
      </c>
    </row>
    <row r="678" spans="1:28" x14ac:dyDescent="0.2">
      <c r="A678" s="91">
        <v>91</v>
      </c>
      <c r="B678" s="91" t="s">
        <v>308</v>
      </c>
      <c r="C678" s="92">
        <v>36822</v>
      </c>
      <c r="D678" s="41" t="s">
        <v>54</v>
      </c>
      <c r="E678" s="41" t="s">
        <v>14</v>
      </c>
      <c r="F678" s="41" t="s">
        <v>15</v>
      </c>
      <c r="G678" s="41" t="s">
        <v>16</v>
      </c>
      <c r="H678" s="93">
        <v>0</v>
      </c>
      <c r="I678" s="94">
        <f>+H678*K678</f>
        <v>0</v>
      </c>
      <c r="J678" s="95">
        <v>36892</v>
      </c>
      <c r="K678" s="96">
        <v>85300</v>
      </c>
      <c r="L678" s="97" t="s">
        <v>25</v>
      </c>
      <c r="M678" s="98">
        <f>+M677</f>
        <v>4.8</v>
      </c>
      <c r="N678" s="99">
        <f>K678*M678</f>
        <v>409440</v>
      </c>
      <c r="O678" s="62">
        <f>0.027*K678</f>
        <v>2303.1</v>
      </c>
      <c r="Q678" s="100">
        <v>9.5649999999999995</v>
      </c>
      <c r="T678" s="62">
        <f>(M678-Q678)*K678</f>
        <v>-406454.5</v>
      </c>
      <c r="U678" s="62"/>
      <c r="AA678" s="91" t="s">
        <v>202</v>
      </c>
      <c r="AB678" s="41" t="s">
        <v>296</v>
      </c>
    </row>
    <row r="679" spans="1:28" x14ac:dyDescent="0.2">
      <c r="A679" s="91">
        <v>91</v>
      </c>
      <c r="B679" s="91" t="s">
        <v>308</v>
      </c>
      <c r="C679" s="92">
        <v>36822</v>
      </c>
      <c r="D679" s="41" t="s">
        <v>54</v>
      </c>
      <c r="E679" s="41" t="s">
        <v>14</v>
      </c>
      <c r="F679" s="41" t="s">
        <v>15</v>
      </c>
      <c r="G679" s="41" t="s">
        <v>16</v>
      </c>
      <c r="H679" s="93">
        <v>0</v>
      </c>
      <c r="I679" s="94">
        <f>+H679*K679</f>
        <v>0</v>
      </c>
      <c r="J679" s="95">
        <v>36923</v>
      </c>
      <c r="K679" s="96">
        <v>67900</v>
      </c>
      <c r="L679" s="97" t="s">
        <v>25</v>
      </c>
      <c r="M679" s="98">
        <f>+M678</f>
        <v>4.8</v>
      </c>
      <c r="N679" s="99">
        <f>K679*M679</f>
        <v>325920</v>
      </c>
      <c r="O679" s="62">
        <f>0.027*K679</f>
        <v>1833.3</v>
      </c>
      <c r="R679" s="101">
        <v>8.26</v>
      </c>
      <c r="U679" s="62">
        <f>(M679-R679)*K679</f>
        <v>-234934</v>
      </c>
      <c r="AA679" s="91" t="s">
        <v>202</v>
      </c>
      <c r="AB679" s="41" t="s">
        <v>296</v>
      </c>
    </row>
    <row r="680" spans="1:28" x14ac:dyDescent="0.2">
      <c r="A680" s="91">
        <v>91</v>
      </c>
      <c r="B680" s="91" t="s">
        <v>308</v>
      </c>
      <c r="C680" s="92">
        <v>36822</v>
      </c>
      <c r="D680" s="41" t="s">
        <v>54</v>
      </c>
      <c r="E680" s="41" t="s">
        <v>14</v>
      </c>
      <c r="F680" s="41" t="s">
        <v>15</v>
      </c>
      <c r="G680" s="41" t="s">
        <v>16</v>
      </c>
      <c r="H680" s="93">
        <v>0</v>
      </c>
      <c r="I680" s="94">
        <f>+H680*K680</f>
        <v>0</v>
      </c>
      <c r="J680" s="95">
        <v>36951</v>
      </c>
      <c r="K680" s="96">
        <v>42500</v>
      </c>
      <c r="L680" s="97" t="s">
        <v>25</v>
      </c>
      <c r="M680" s="98">
        <f>+M679</f>
        <v>4.8</v>
      </c>
      <c r="N680" s="99">
        <f>K680*M680</f>
        <v>204000</v>
      </c>
      <c r="O680" s="62">
        <f>0.027*K680</f>
        <v>1147.5</v>
      </c>
      <c r="R680" s="101">
        <v>7.55</v>
      </c>
      <c r="U680" s="62">
        <f>(M680-R680)*K680</f>
        <v>-116875</v>
      </c>
      <c r="AA680" s="91" t="s">
        <v>202</v>
      </c>
      <c r="AB680" s="41" t="s">
        <v>296</v>
      </c>
    </row>
    <row r="682" spans="1:28" x14ac:dyDescent="0.2">
      <c r="A682" s="91">
        <v>92</v>
      </c>
      <c r="C682" s="92">
        <v>36823</v>
      </c>
      <c r="D682" s="41" t="s">
        <v>20</v>
      </c>
      <c r="E682" s="41" t="s">
        <v>14</v>
      </c>
      <c r="F682" s="41" t="s">
        <v>21</v>
      </c>
      <c r="G682" s="41" t="s">
        <v>16</v>
      </c>
      <c r="H682" s="93">
        <v>0</v>
      </c>
      <c r="I682" s="94">
        <f>+H682*K682</f>
        <v>0</v>
      </c>
      <c r="J682" s="95">
        <v>36831</v>
      </c>
      <c r="K682" s="96">
        <v>40000</v>
      </c>
      <c r="L682" s="97" t="s">
        <v>25</v>
      </c>
      <c r="M682" s="98">
        <v>4.79</v>
      </c>
      <c r="N682" s="99">
        <f>K682*M682</f>
        <v>191600</v>
      </c>
      <c r="O682" s="62">
        <f>0.0175*K682</f>
        <v>700.00000000000011</v>
      </c>
      <c r="Q682" s="100">
        <v>4.46</v>
      </c>
      <c r="T682" s="62">
        <f>(M682-Q682)*K682</f>
        <v>13200.000000000004</v>
      </c>
      <c r="Y682" s="41" t="s">
        <v>205</v>
      </c>
      <c r="AB682" s="41" t="s">
        <v>296</v>
      </c>
    </row>
    <row r="684" spans="1:28" x14ac:dyDescent="0.2">
      <c r="A684" s="91">
        <v>93</v>
      </c>
      <c r="B684" s="91" t="s">
        <v>309</v>
      </c>
      <c r="C684" s="92">
        <v>36824</v>
      </c>
      <c r="D684" s="41" t="s">
        <v>20</v>
      </c>
      <c r="E684" s="41" t="s">
        <v>14</v>
      </c>
      <c r="F684" s="41" t="s">
        <v>21</v>
      </c>
      <c r="G684" s="41" t="s">
        <v>16</v>
      </c>
      <c r="H684" s="93">
        <v>0</v>
      </c>
      <c r="I684" s="94">
        <f>+H684*K684</f>
        <v>0</v>
      </c>
      <c r="J684" s="95">
        <v>36861</v>
      </c>
      <c r="K684" s="96">
        <v>40000</v>
      </c>
      <c r="L684" s="97" t="s">
        <v>25</v>
      </c>
      <c r="M684" s="98">
        <v>4.8</v>
      </c>
      <c r="N684" s="99">
        <f>K684*M684</f>
        <v>192000</v>
      </c>
      <c r="O684" s="62">
        <f>0.045*K684</f>
        <v>1800</v>
      </c>
      <c r="Q684" s="100">
        <v>6</v>
      </c>
      <c r="T684" s="62">
        <f>(M684-Q684)*K684</f>
        <v>-48000.000000000007</v>
      </c>
      <c r="Y684" s="41" t="s">
        <v>205</v>
      </c>
      <c r="AB684" s="41" t="s">
        <v>296</v>
      </c>
    </row>
    <row r="686" spans="1:28" x14ac:dyDescent="0.2">
      <c r="A686" s="91">
        <v>94</v>
      </c>
      <c r="B686" s="91" t="s">
        <v>310</v>
      </c>
      <c r="C686" s="92">
        <v>36825</v>
      </c>
      <c r="D686" s="41" t="s">
        <v>183</v>
      </c>
      <c r="E686" s="41" t="s">
        <v>14</v>
      </c>
      <c r="F686" s="41" t="s">
        <v>21</v>
      </c>
      <c r="G686" s="41" t="s">
        <v>198</v>
      </c>
      <c r="H686" s="93">
        <v>0</v>
      </c>
      <c r="I686" s="94">
        <f t="shared" ref="I686:I701" si="169">+H686*K686</f>
        <v>0</v>
      </c>
      <c r="J686" s="95">
        <v>36831</v>
      </c>
      <c r="K686" s="96">
        <v>165000</v>
      </c>
      <c r="L686" s="97" t="s">
        <v>25</v>
      </c>
      <c r="M686" s="98">
        <v>4.24</v>
      </c>
      <c r="N686" s="99">
        <f t="shared" ref="N686:N701" si="170">K686*M686</f>
        <v>699600</v>
      </c>
      <c r="O686" s="62">
        <f t="shared" ref="O686:O701" si="171">0.03*K686</f>
        <v>4950</v>
      </c>
      <c r="Q686" s="100">
        <v>4.46</v>
      </c>
      <c r="T686" s="62">
        <f>-(M686-Q686)*K686</f>
        <v>36299.999999999956</v>
      </c>
      <c r="Y686" s="41" t="s">
        <v>207</v>
      </c>
      <c r="AB686" s="41" t="s">
        <v>296</v>
      </c>
    </row>
    <row r="687" spans="1:28" x14ac:dyDescent="0.2">
      <c r="A687" s="91">
        <v>94</v>
      </c>
      <c r="B687" s="91" t="s">
        <v>310</v>
      </c>
      <c r="C687" s="92">
        <v>36825</v>
      </c>
      <c r="D687" s="41" t="s">
        <v>183</v>
      </c>
      <c r="E687" s="41" t="s">
        <v>14</v>
      </c>
      <c r="F687" s="41" t="s">
        <v>21</v>
      </c>
      <c r="G687" s="41" t="s">
        <v>198</v>
      </c>
      <c r="H687" s="93">
        <v>0</v>
      </c>
      <c r="I687" s="94">
        <f t="shared" si="169"/>
        <v>0</v>
      </c>
      <c r="J687" s="95">
        <v>36861</v>
      </c>
      <c r="K687" s="96">
        <f t="shared" ref="K687:K701" si="172">+K686</f>
        <v>165000</v>
      </c>
      <c r="L687" s="97" t="s">
        <v>25</v>
      </c>
      <c r="M687" s="98">
        <v>4.24</v>
      </c>
      <c r="N687" s="99">
        <f t="shared" si="170"/>
        <v>699600</v>
      </c>
      <c r="O687" s="62">
        <f t="shared" si="171"/>
        <v>4950</v>
      </c>
      <c r="Q687" s="100" t="s">
        <v>298</v>
      </c>
      <c r="T687" s="100" t="s">
        <v>298</v>
      </c>
      <c r="AB687" s="41" t="s">
        <v>296</v>
      </c>
    </row>
    <row r="688" spans="1:28" x14ac:dyDescent="0.2">
      <c r="A688" s="91">
        <v>94</v>
      </c>
      <c r="B688" s="91" t="s">
        <v>310</v>
      </c>
      <c r="C688" s="92">
        <v>36825</v>
      </c>
      <c r="D688" s="41" t="s">
        <v>183</v>
      </c>
      <c r="E688" s="41" t="s">
        <v>14</v>
      </c>
      <c r="F688" s="41" t="s">
        <v>21</v>
      </c>
      <c r="G688" s="41" t="s">
        <v>198</v>
      </c>
      <c r="H688" s="93">
        <v>0</v>
      </c>
      <c r="I688" s="94">
        <f t="shared" si="169"/>
        <v>0</v>
      </c>
      <c r="J688" s="95">
        <v>36892</v>
      </c>
      <c r="K688" s="96">
        <f t="shared" si="172"/>
        <v>165000</v>
      </c>
      <c r="L688" s="97" t="s">
        <v>25</v>
      </c>
      <c r="M688" s="98">
        <v>4.24</v>
      </c>
      <c r="N688" s="99">
        <f t="shared" si="170"/>
        <v>699600</v>
      </c>
      <c r="O688" s="62">
        <f t="shared" si="171"/>
        <v>4950</v>
      </c>
      <c r="Q688" s="100" t="s">
        <v>298</v>
      </c>
      <c r="T688" s="100" t="s">
        <v>298</v>
      </c>
      <c r="AB688" s="41" t="s">
        <v>296</v>
      </c>
    </row>
    <row r="689" spans="1:28" x14ac:dyDescent="0.2">
      <c r="A689" s="91">
        <v>94</v>
      </c>
      <c r="B689" s="91" t="s">
        <v>310</v>
      </c>
      <c r="C689" s="92">
        <v>36825</v>
      </c>
      <c r="D689" s="41" t="s">
        <v>183</v>
      </c>
      <c r="E689" s="41" t="s">
        <v>14</v>
      </c>
      <c r="F689" s="41" t="s">
        <v>21</v>
      </c>
      <c r="G689" s="41" t="s">
        <v>198</v>
      </c>
      <c r="H689" s="93">
        <v>0</v>
      </c>
      <c r="I689" s="94">
        <f t="shared" si="169"/>
        <v>0</v>
      </c>
      <c r="J689" s="95">
        <v>36923</v>
      </c>
      <c r="K689" s="96">
        <f t="shared" si="172"/>
        <v>165000</v>
      </c>
      <c r="L689" s="97" t="s">
        <v>25</v>
      </c>
      <c r="M689" s="98">
        <v>4.24</v>
      </c>
      <c r="N689" s="99">
        <f t="shared" si="170"/>
        <v>699600</v>
      </c>
      <c r="O689" s="62">
        <f t="shared" si="171"/>
        <v>4950</v>
      </c>
      <c r="Q689" s="100" t="s">
        <v>298</v>
      </c>
      <c r="T689" s="100" t="s">
        <v>298</v>
      </c>
      <c r="AB689" s="41" t="s">
        <v>296</v>
      </c>
    </row>
    <row r="690" spans="1:28" x14ac:dyDescent="0.2">
      <c r="A690" s="91">
        <v>94</v>
      </c>
      <c r="B690" s="91" t="s">
        <v>310</v>
      </c>
      <c r="C690" s="92">
        <v>36825</v>
      </c>
      <c r="D690" s="41" t="s">
        <v>183</v>
      </c>
      <c r="E690" s="41" t="s">
        <v>14</v>
      </c>
      <c r="F690" s="41" t="s">
        <v>21</v>
      </c>
      <c r="G690" s="41" t="s">
        <v>198</v>
      </c>
      <c r="H690" s="93">
        <v>0</v>
      </c>
      <c r="I690" s="94">
        <f t="shared" si="169"/>
        <v>0</v>
      </c>
      <c r="J690" s="95">
        <v>36951</v>
      </c>
      <c r="K690" s="96">
        <f t="shared" si="172"/>
        <v>165000</v>
      </c>
      <c r="L690" s="97" t="s">
        <v>25</v>
      </c>
      <c r="M690" s="98">
        <v>4.24</v>
      </c>
      <c r="N690" s="99">
        <f t="shared" si="170"/>
        <v>699600</v>
      </c>
      <c r="O690" s="62">
        <f t="shared" si="171"/>
        <v>4950</v>
      </c>
      <c r="Q690" s="100" t="s">
        <v>298</v>
      </c>
      <c r="T690" s="100" t="s">
        <v>298</v>
      </c>
      <c r="AB690" s="41" t="s">
        <v>296</v>
      </c>
    </row>
    <row r="691" spans="1:28" x14ac:dyDescent="0.2">
      <c r="A691" s="91">
        <v>94</v>
      </c>
      <c r="B691" s="91" t="s">
        <v>310</v>
      </c>
      <c r="C691" s="92">
        <v>36825</v>
      </c>
      <c r="D691" s="41" t="s">
        <v>183</v>
      </c>
      <c r="E691" s="41" t="s">
        <v>14</v>
      </c>
      <c r="F691" s="41" t="s">
        <v>21</v>
      </c>
      <c r="G691" s="41" t="s">
        <v>198</v>
      </c>
      <c r="H691" s="93">
        <v>0</v>
      </c>
      <c r="I691" s="94">
        <f t="shared" si="169"/>
        <v>0</v>
      </c>
      <c r="J691" s="95">
        <v>36982</v>
      </c>
      <c r="K691" s="96">
        <f t="shared" si="172"/>
        <v>165000</v>
      </c>
      <c r="L691" s="97" t="s">
        <v>25</v>
      </c>
      <c r="M691" s="98">
        <v>4.24</v>
      </c>
      <c r="N691" s="99">
        <f t="shared" si="170"/>
        <v>699600</v>
      </c>
      <c r="O691" s="62">
        <f t="shared" si="171"/>
        <v>4950</v>
      </c>
      <c r="Q691" s="100" t="s">
        <v>298</v>
      </c>
      <c r="T691" s="100" t="s">
        <v>298</v>
      </c>
      <c r="AB691" s="41" t="s">
        <v>296</v>
      </c>
    </row>
    <row r="692" spans="1:28" x14ac:dyDescent="0.2">
      <c r="A692" s="91">
        <v>94</v>
      </c>
      <c r="B692" s="91" t="s">
        <v>310</v>
      </c>
      <c r="C692" s="92">
        <v>36825</v>
      </c>
      <c r="D692" s="41" t="s">
        <v>183</v>
      </c>
      <c r="E692" s="41" t="s">
        <v>14</v>
      </c>
      <c r="F692" s="41" t="s">
        <v>21</v>
      </c>
      <c r="G692" s="41" t="s">
        <v>198</v>
      </c>
      <c r="H692" s="93">
        <v>0</v>
      </c>
      <c r="I692" s="94">
        <f t="shared" si="169"/>
        <v>0</v>
      </c>
      <c r="J692" s="95">
        <v>37012</v>
      </c>
      <c r="K692" s="96">
        <f t="shared" si="172"/>
        <v>165000</v>
      </c>
      <c r="L692" s="97" t="s">
        <v>25</v>
      </c>
      <c r="M692" s="98">
        <v>4.24</v>
      </c>
      <c r="N692" s="99">
        <f t="shared" si="170"/>
        <v>699600</v>
      </c>
      <c r="O692" s="62">
        <f t="shared" si="171"/>
        <v>4950</v>
      </c>
      <c r="Q692" s="100" t="s">
        <v>298</v>
      </c>
      <c r="T692" s="100" t="s">
        <v>298</v>
      </c>
      <c r="AB692" s="41" t="s">
        <v>296</v>
      </c>
    </row>
    <row r="693" spans="1:28" x14ac:dyDescent="0.2">
      <c r="A693" s="91">
        <v>94</v>
      </c>
      <c r="B693" s="91" t="s">
        <v>310</v>
      </c>
      <c r="C693" s="92">
        <v>36825</v>
      </c>
      <c r="D693" s="41" t="s">
        <v>183</v>
      </c>
      <c r="E693" s="41" t="s">
        <v>14</v>
      </c>
      <c r="F693" s="41" t="s">
        <v>21</v>
      </c>
      <c r="G693" s="41" t="s">
        <v>198</v>
      </c>
      <c r="H693" s="93">
        <v>0</v>
      </c>
      <c r="I693" s="94">
        <f t="shared" si="169"/>
        <v>0</v>
      </c>
      <c r="J693" s="95">
        <v>37043</v>
      </c>
      <c r="K693" s="96">
        <f t="shared" si="172"/>
        <v>165000</v>
      </c>
      <c r="L693" s="97" t="s">
        <v>25</v>
      </c>
      <c r="M693" s="98">
        <v>4.24</v>
      </c>
      <c r="N693" s="99">
        <f t="shared" si="170"/>
        <v>699600</v>
      </c>
      <c r="O693" s="62">
        <f t="shared" si="171"/>
        <v>4950</v>
      </c>
      <c r="Q693" s="100" t="s">
        <v>298</v>
      </c>
      <c r="T693" s="100" t="s">
        <v>298</v>
      </c>
      <c r="AB693" s="41" t="s">
        <v>296</v>
      </c>
    </row>
    <row r="694" spans="1:28" x14ac:dyDescent="0.2">
      <c r="A694" s="91">
        <v>94</v>
      </c>
      <c r="B694" s="91" t="s">
        <v>310</v>
      </c>
      <c r="C694" s="92">
        <v>36825</v>
      </c>
      <c r="D694" s="41" t="s">
        <v>183</v>
      </c>
      <c r="E694" s="41" t="s">
        <v>14</v>
      </c>
      <c r="F694" s="41" t="s">
        <v>21</v>
      </c>
      <c r="G694" s="41" t="s">
        <v>198</v>
      </c>
      <c r="H694" s="93">
        <v>0</v>
      </c>
      <c r="I694" s="94">
        <f t="shared" si="169"/>
        <v>0</v>
      </c>
      <c r="J694" s="95">
        <v>37073</v>
      </c>
      <c r="K694" s="96">
        <f t="shared" si="172"/>
        <v>165000</v>
      </c>
      <c r="L694" s="97" t="s">
        <v>25</v>
      </c>
      <c r="M694" s="98">
        <v>4.24</v>
      </c>
      <c r="N694" s="99">
        <f t="shared" si="170"/>
        <v>699600</v>
      </c>
      <c r="O694" s="62">
        <f t="shared" si="171"/>
        <v>4950</v>
      </c>
      <c r="Q694" s="100" t="s">
        <v>298</v>
      </c>
      <c r="T694" s="100" t="s">
        <v>298</v>
      </c>
      <c r="W694" s="102"/>
      <c r="X694" s="102"/>
      <c r="AB694" s="41" t="s">
        <v>296</v>
      </c>
    </row>
    <row r="695" spans="1:28" x14ac:dyDescent="0.2">
      <c r="A695" s="91">
        <v>94</v>
      </c>
      <c r="B695" s="91" t="s">
        <v>310</v>
      </c>
      <c r="C695" s="92">
        <v>36825</v>
      </c>
      <c r="D695" s="41" t="s">
        <v>183</v>
      </c>
      <c r="E695" s="41" t="s">
        <v>14</v>
      </c>
      <c r="F695" s="41" t="s">
        <v>21</v>
      </c>
      <c r="G695" s="41" t="s">
        <v>198</v>
      </c>
      <c r="H695" s="93">
        <v>0</v>
      </c>
      <c r="I695" s="94">
        <f t="shared" si="169"/>
        <v>0</v>
      </c>
      <c r="J695" s="95">
        <v>37104</v>
      </c>
      <c r="K695" s="96">
        <f t="shared" si="172"/>
        <v>165000</v>
      </c>
      <c r="L695" s="97" t="s">
        <v>25</v>
      </c>
      <c r="M695" s="98">
        <v>4.24</v>
      </c>
      <c r="N695" s="99">
        <f t="shared" si="170"/>
        <v>699600</v>
      </c>
      <c r="O695" s="62">
        <f t="shared" si="171"/>
        <v>4950</v>
      </c>
      <c r="Q695" s="100" t="s">
        <v>298</v>
      </c>
      <c r="T695" s="100" t="s">
        <v>298</v>
      </c>
      <c r="AB695" s="41" t="s">
        <v>296</v>
      </c>
    </row>
    <row r="696" spans="1:28" x14ac:dyDescent="0.2">
      <c r="A696" s="91">
        <v>94</v>
      </c>
      <c r="B696" s="91" t="s">
        <v>310</v>
      </c>
      <c r="C696" s="92">
        <v>36825</v>
      </c>
      <c r="D696" s="41" t="s">
        <v>183</v>
      </c>
      <c r="E696" s="41" t="s">
        <v>14</v>
      </c>
      <c r="F696" s="41" t="s">
        <v>21</v>
      </c>
      <c r="G696" s="41" t="s">
        <v>198</v>
      </c>
      <c r="H696" s="93">
        <v>0</v>
      </c>
      <c r="I696" s="94">
        <f t="shared" si="169"/>
        <v>0</v>
      </c>
      <c r="J696" s="95">
        <v>37135</v>
      </c>
      <c r="K696" s="96">
        <f t="shared" si="172"/>
        <v>165000</v>
      </c>
      <c r="L696" s="97" t="s">
        <v>25</v>
      </c>
      <c r="M696" s="98">
        <v>4.24</v>
      </c>
      <c r="N696" s="99">
        <f t="shared" si="170"/>
        <v>699600</v>
      </c>
      <c r="O696" s="62">
        <f t="shared" si="171"/>
        <v>4950</v>
      </c>
      <c r="Q696" s="100" t="s">
        <v>298</v>
      </c>
      <c r="T696" s="100" t="s">
        <v>298</v>
      </c>
      <c r="AB696" s="41" t="s">
        <v>296</v>
      </c>
    </row>
    <row r="697" spans="1:28" outlineLevel="1" x14ac:dyDescent="0.2">
      <c r="A697" s="91">
        <v>94</v>
      </c>
      <c r="B697" s="91" t="s">
        <v>310</v>
      </c>
      <c r="C697" s="92">
        <v>36825</v>
      </c>
      <c r="D697" s="41" t="s">
        <v>183</v>
      </c>
      <c r="E697" s="41" t="s">
        <v>14</v>
      </c>
      <c r="F697" s="41" t="s">
        <v>21</v>
      </c>
      <c r="G697" s="41" t="s">
        <v>198</v>
      </c>
      <c r="H697" s="93">
        <v>0</v>
      </c>
      <c r="I697" s="94">
        <f t="shared" si="169"/>
        <v>0</v>
      </c>
      <c r="J697" s="95">
        <v>37165</v>
      </c>
      <c r="K697" s="96">
        <f t="shared" si="172"/>
        <v>165000</v>
      </c>
      <c r="L697" s="97" t="s">
        <v>25</v>
      </c>
      <c r="M697" s="98">
        <v>4.24</v>
      </c>
      <c r="N697" s="99">
        <f t="shared" si="170"/>
        <v>699600</v>
      </c>
      <c r="O697" s="62">
        <f t="shared" si="171"/>
        <v>4950</v>
      </c>
      <c r="Q697" s="100" t="s">
        <v>298</v>
      </c>
      <c r="T697" s="100" t="s">
        <v>298</v>
      </c>
      <c r="AB697" s="41" t="s">
        <v>296</v>
      </c>
    </row>
    <row r="698" spans="1:28" outlineLevel="1" x14ac:dyDescent="0.2">
      <c r="A698" s="91">
        <v>94</v>
      </c>
      <c r="B698" s="91" t="s">
        <v>310</v>
      </c>
      <c r="C698" s="92">
        <v>36825</v>
      </c>
      <c r="D698" s="41" t="s">
        <v>183</v>
      </c>
      <c r="E698" s="41" t="s">
        <v>14</v>
      </c>
      <c r="F698" s="41" t="s">
        <v>21</v>
      </c>
      <c r="G698" s="41" t="s">
        <v>198</v>
      </c>
      <c r="H698" s="93">
        <v>0</v>
      </c>
      <c r="I698" s="94">
        <f t="shared" si="169"/>
        <v>0</v>
      </c>
      <c r="J698" s="95">
        <v>37196</v>
      </c>
      <c r="K698" s="96">
        <f t="shared" si="172"/>
        <v>165000</v>
      </c>
      <c r="L698" s="97" t="s">
        <v>25</v>
      </c>
      <c r="M698" s="98">
        <v>4.24</v>
      </c>
      <c r="N698" s="99">
        <f t="shared" si="170"/>
        <v>699600</v>
      </c>
      <c r="O698" s="62">
        <f t="shared" si="171"/>
        <v>4950</v>
      </c>
      <c r="Q698" s="100" t="s">
        <v>298</v>
      </c>
      <c r="T698" s="100" t="s">
        <v>298</v>
      </c>
      <c r="AB698" s="41" t="s">
        <v>296</v>
      </c>
    </row>
    <row r="699" spans="1:28" outlineLevel="1" x14ac:dyDescent="0.2">
      <c r="A699" s="91">
        <v>94</v>
      </c>
      <c r="B699" s="91" t="s">
        <v>310</v>
      </c>
      <c r="C699" s="92">
        <v>36825</v>
      </c>
      <c r="D699" s="41" t="s">
        <v>183</v>
      </c>
      <c r="E699" s="41" t="s">
        <v>14</v>
      </c>
      <c r="F699" s="41" t="s">
        <v>21</v>
      </c>
      <c r="G699" s="41" t="s">
        <v>198</v>
      </c>
      <c r="H699" s="93">
        <v>0</v>
      </c>
      <c r="I699" s="94">
        <f t="shared" si="169"/>
        <v>0</v>
      </c>
      <c r="J699" s="95">
        <v>37226</v>
      </c>
      <c r="K699" s="96">
        <f t="shared" si="172"/>
        <v>165000</v>
      </c>
      <c r="L699" s="97" t="s">
        <v>25</v>
      </c>
      <c r="M699" s="98">
        <v>4.24</v>
      </c>
      <c r="N699" s="99">
        <f t="shared" si="170"/>
        <v>699600</v>
      </c>
      <c r="O699" s="62">
        <f t="shared" si="171"/>
        <v>4950</v>
      </c>
      <c r="Q699" s="100" t="s">
        <v>298</v>
      </c>
      <c r="T699" s="100" t="s">
        <v>298</v>
      </c>
      <c r="AB699" s="41" t="s">
        <v>296</v>
      </c>
    </row>
    <row r="700" spans="1:28" outlineLevel="1" x14ac:dyDescent="0.2">
      <c r="A700" s="91">
        <v>94</v>
      </c>
      <c r="B700" s="91" t="s">
        <v>310</v>
      </c>
      <c r="C700" s="92">
        <v>36825</v>
      </c>
      <c r="D700" s="41" t="s">
        <v>183</v>
      </c>
      <c r="E700" s="41" t="s">
        <v>14</v>
      </c>
      <c r="F700" s="41" t="s">
        <v>21</v>
      </c>
      <c r="G700" s="41" t="s">
        <v>198</v>
      </c>
      <c r="H700" s="93">
        <v>0</v>
      </c>
      <c r="I700" s="94">
        <f t="shared" si="169"/>
        <v>0</v>
      </c>
      <c r="J700" s="95">
        <v>37257</v>
      </c>
      <c r="K700" s="96">
        <f t="shared" si="172"/>
        <v>165000</v>
      </c>
      <c r="L700" s="97" t="s">
        <v>25</v>
      </c>
      <c r="M700" s="98">
        <v>4.24</v>
      </c>
      <c r="N700" s="99">
        <f t="shared" si="170"/>
        <v>699600</v>
      </c>
      <c r="O700" s="62">
        <f t="shared" si="171"/>
        <v>4950</v>
      </c>
      <c r="Q700" s="100" t="s">
        <v>298</v>
      </c>
      <c r="T700" s="100" t="s">
        <v>298</v>
      </c>
      <c r="AB700" s="41" t="s">
        <v>296</v>
      </c>
    </row>
    <row r="701" spans="1:28" outlineLevel="1" x14ac:dyDescent="0.2">
      <c r="A701" s="91">
        <v>94</v>
      </c>
      <c r="B701" s="91" t="s">
        <v>310</v>
      </c>
      <c r="C701" s="92">
        <v>36825</v>
      </c>
      <c r="D701" s="41" t="s">
        <v>183</v>
      </c>
      <c r="E701" s="41" t="s">
        <v>14</v>
      </c>
      <c r="F701" s="41" t="s">
        <v>21</v>
      </c>
      <c r="G701" s="41" t="s">
        <v>198</v>
      </c>
      <c r="H701" s="93">
        <v>0</v>
      </c>
      <c r="I701" s="94">
        <f t="shared" si="169"/>
        <v>0</v>
      </c>
      <c r="J701" s="95">
        <v>37288</v>
      </c>
      <c r="K701" s="96">
        <f t="shared" si="172"/>
        <v>165000</v>
      </c>
      <c r="L701" s="97" t="s">
        <v>25</v>
      </c>
      <c r="M701" s="98">
        <v>4.24</v>
      </c>
      <c r="N701" s="99">
        <f t="shared" si="170"/>
        <v>699600</v>
      </c>
      <c r="O701" s="62">
        <f t="shared" si="171"/>
        <v>4950</v>
      </c>
      <c r="Q701" s="100" t="s">
        <v>298</v>
      </c>
      <c r="T701" s="100" t="s">
        <v>298</v>
      </c>
      <c r="AB701" s="41" t="s">
        <v>296</v>
      </c>
    </row>
    <row r="703" spans="1:28" x14ac:dyDescent="0.2">
      <c r="A703" s="91">
        <v>95</v>
      </c>
      <c r="C703" s="92">
        <v>36829</v>
      </c>
      <c r="D703" s="41" t="s">
        <v>20</v>
      </c>
      <c r="E703" s="41" t="s">
        <v>14</v>
      </c>
      <c r="F703" s="41" t="s">
        <v>21</v>
      </c>
      <c r="G703" s="41" t="s">
        <v>198</v>
      </c>
      <c r="H703" s="93">
        <v>0</v>
      </c>
      <c r="I703" s="94">
        <f>+H703*K703</f>
        <v>0</v>
      </c>
      <c r="J703" s="95">
        <v>36861</v>
      </c>
      <c r="K703" s="96">
        <v>60000</v>
      </c>
      <c r="L703" s="97" t="s">
        <v>25</v>
      </c>
      <c r="M703" s="98">
        <v>4.4400000000000004</v>
      </c>
      <c r="N703" s="99">
        <f>K703*M703</f>
        <v>266400</v>
      </c>
      <c r="O703" s="62">
        <f>0.0075*K703</f>
        <v>450</v>
      </c>
      <c r="Q703" s="100">
        <v>6</v>
      </c>
      <c r="T703" s="62">
        <f>-(M703-Q703)*K703</f>
        <v>93599.999999999971</v>
      </c>
      <c r="Y703" s="41" t="s">
        <v>205</v>
      </c>
      <c r="AB703" s="41" t="s">
        <v>296</v>
      </c>
    </row>
    <row r="704" spans="1:28" x14ac:dyDescent="0.2">
      <c r="A704" s="91">
        <v>95</v>
      </c>
      <c r="C704" s="92">
        <v>36829</v>
      </c>
      <c r="D704" s="41" t="s">
        <v>20</v>
      </c>
      <c r="E704" s="41" t="s">
        <v>14</v>
      </c>
      <c r="F704" s="41" t="s">
        <v>21</v>
      </c>
      <c r="G704" s="41" t="s">
        <v>198</v>
      </c>
      <c r="J704" s="95">
        <v>36892</v>
      </c>
      <c r="K704" s="96">
        <f>+K703</f>
        <v>60000</v>
      </c>
      <c r="L704" s="97" t="s">
        <v>25</v>
      </c>
      <c r="M704" s="98">
        <v>4.4824999999999999</v>
      </c>
      <c r="N704" s="99">
        <f>K704*M704</f>
        <v>268950</v>
      </c>
      <c r="O704" s="62">
        <f>0.005*K704</f>
        <v>300</v>
      </c>
      <c r="Q704" s="100">
        <v>9.84</v>
      </c>
      <c r="T704" s="62">
        <f>-(M704-Q704)*K704</f>
        <v>321450</v>
      </c>
      <c r="AB704" s="41" t="s">
        <v>296</v>
      </c>
    </row>
    <row r="706" spans="1:28" x14ac:dyDescent="0.2">
      <c r="A706" s="91">
        <v>96</v>
      </c>
      <c r="C706" s="92">
        <v>36832</v>
      </c>
      <c r="D706" s="41" t="s">
        <v>263</v>
      </c>
      <c r="F706" s="41" t="s">
        <v>21</v>
      </c>
      <c r="G706" s="41" t="s">
        <v>112</v>
      </c>
      <c r="H706" s="93">
        <v>0.31</v>
      </c>
      <c r="I706" s="94">
        <f>+H706*K706</f>
        <v>3875</v>
      </c>
      <c r="J706" s="95">
        <v>36861</v>
      </c>
      <c r="K706" s="96">
        <v>12500</v>
      </c>
      <c r="L706" s="97" t="s">
        <v>25</v>
      </c>
      <c r="M706" s="98">
        <v>5.3</v>
      </c>
      <c r="N706" s="99">
        <f>K706*M706</f>
        <v>66250</v>
      </c>
      <c r="O706" s="62">
        <f>0*K706</f>
        <v>0</v>
      </c>
      <c r="Q706" s="100">
        <v>6</v>
      </c>
      <c r="T706" s="62">
        <f>(M706-Q706)*K706</f>
        <v>-8750.0000000000018</v>
      </c>
      <c r="Y706" s="41" t="s">
        <v>209</v>
      </c>
      <c r="AB706" s="41" t="s">
        <v>296</v>
      </c>
    </row>
    <row r="707" spans="1:28" x14ac:dyDescent="0.2">
      <c r="A707" s="91">
        <v>96</v>
      </c>
      <c r="C707" s="92">
        <v>36832</v>
      </c>
      <c r="D707" s="41" t="s">
        <v>263</v>
      </c>
      <c r="F707" s="41" t="s">
        <v>21</v>
      </c>
      <c r="G707" s="41" t="s">
        <v>112</v>
      </c>
      <c r="H707" s="93">
        <v>0.31</v>
      </c>
      <c r="I707" s="94">
        <f>+H707*K707</f>
        <v>3875</v>
      </c>
      <c r="J707" s="95">
        <v>36892</v>
      </c>
      <c r="K707" s="96">
        <f>+K706</f>
        <v>12500</v>
      </c>
      <c r="L707" s="97" t="s">
        <v>25</v>
      </c>
      <c r="M707" s="98">
        <v>5.3</v>
      </c>
      <c r="N707" s="99">
        <f>K707*M707</f>
        <v>66250</v>
      </c>
      <c r="O707" s="62">
        <f>0*K707</f>
        <v>0</v>
      </c>
      <c r="Q707" s="100">
        <v>9.84</v>
      </c>
      <c r="T707" s="62">
        <f>(5.3-Q707)*K707</f>
        <v>-56750</v>
      </c>
      <c r="AB707" s="41" t="s">
        <v>296</v>
      </c>
    </row>
    <row r="708" spans="1:28" x14ac:dyDescent="0.2">
      <c r="A708" s="91">
        <v>96</v>
      </c>
      <c r="C708" s="92">
        <v>36832</v>
      </c>
      <c r="D708" s="41" t="s">
        <v>263</v>
      </c>
      <c r="F708" s="41" t="s">
        <v>21</v>
      </c>
      <c r="G708" s="41" t="s">
        <v>112</v>
      </c>
      <c r="H708" s="93">
        <v>0.31</v>
      </c>
      <c r="I708" s="94">
        <f>+H708*K708</f>
        <v>3875</v>
      </c>
      <c r="J708" s="95">
        <v>36923</v>
      </c>
      <c r="K708" s="96">
        <f>+K707</f>
        <v>12500</v>
      </c>
      <c r="L708" s="97" t="s">
        <v>25</v>
      </c>
      <c r="M708" s="98">
        <v>5.3</v>
      </c>
      <c r="N708" s="99">
        <f>K708*M708</f>
        <v>66250</v>
      </c>
      <c r="O708" s="62">
        <f>0*K708</f>
        <v>0</v>
      </c>
      <c r="AB708" s="41" t="s">
        <v>296</v>
      </c>
    </row>
    <row r="709" spans="1:28" x14ac:dyDescent="0.2">
      <c r="A709" s="91">
        <v>96</v>
      </c>
      <c r="C709" s="92">
        <v>36832</v>
      </c>
      <c r="D709" s="41" t="s">
        <v>263</v>
      </c>
      <c r="F709" s="41" t="s">
        <v>21</v>
      </c>
      <c r="G709" s="41" t="s">
        <v>112</v>
      </c>
      <c r="H709" s="93">
        <v>0.31</v>
      </c>
      <c r="I709" s="94">
        <f>+H709*K709</f>
        <v>3875</v>
      </c>
      <c r="J709" s="95">
        <v>36951</v>
      </c>
      <c r="K709" s="96">
        <f>+K708</f>
        <v>12500</v>
      </c>
      <c r="L709" s="97" t="s">
        <v>25</v>
      </c>
      <c r="M709" s="98">
        <v>5.3</v>
      </c>
      <c r="N709" s="99">
        <f>K709*M709</f>
        <v>66250</v>
      </c>
      <c r="O709" s="62">
        <f>0*K709</f>
        <v>0</v>
      </c>
      <c r="AB709" s="41" t="s">
        <v>296</v>
      </c>
    </row>
    <row r="710" spans="1:28" x14ac:dyDescent="0.2">
      <c r="J710" s="95"/>
      <c r="M710" s="98"/>
    </row>
    <row r="711" spans="1:28" x14ac:dyDescent="0.2">
      <c r="A711" s="91">
        <v>97</v>
      </c>
      <c r="C711" s="92">
        <v>36833</v>
      </c>
      <c r="D711" s="41" t="s">
        <v>263</v>
      </c>
      <c r="F711" s="41" t="s">
        <v>21</v>
      </c>
      <c r="G711" s="41" t="s">
        <v>112</v>
      </c>
      <c r="H711" s="93">
        <v>0.34749999999999998</v>
      </c>
      <c r="I711" s="94">
        <f>+H711*K711</f>
        <v>16332.499999999998</v>
      </c>
      <c r="J711" s="95">
        <v>36861</v>
      </c>
      <c r="K711" s="96">
        <v>47000</v>
      </c>
      <c r="L711" s="97" t="s">
        <v>25</v>
      </c>
      <c r="M711" s="98">
        <v>5.3</v>
      </c>
      <c r="N711" s="99">
        <f>K711*M711</f>
        <v>249100</v>
      </c>
      <c r="O711" s="62">
        <f>0.0025*K711</f>
        <v>117.5</v>
      </c>
      <c r="Q711" s="100">
        <v>6</v>
      </c>
      <c r="T711" s="62">
        <f>(M711-Q711)*K711</f>
        <v>-32900.000000000007</v>
      </c>
      <c r="Y711" s="41" t="s">
        <v>209</v>
      </c>
      <c r="AB711" s="41" t="s">
        <v>296</v>
      </c>
    </row>
    <row r="712" spans="1:28" x14ac:dyDescent="0.2">
      <c r="A712" s="91">
        <v>97</v>
      </c>
      <c r="C712" s="92">
        <v>36833</v>
      </c>
      <c r="D712" s="41" t="s">
        <v>263</v>
      </c>
      <c r="F712" s="41" t="s">
        <v>21</v>
      </c>
      <c r="G712" s="41" t="s">
        <v>112</v>
      </c>
      <c r="H712" s="93">
        <v>0.34749999999999998</v>
      </c>
      <c r="I712" s="94">
        <f>+H712*K712</f>
        <v>16332.499999999998</v>
      </c>
      <c r="J712" s="95">
        <v>36892</v>
      </c>
      <c r="K712" s="96">
        <f>+K711</f>
        <v>47000</v>
      </c>
      <c r="L712" s="97" t="s">
        <v>25</v>
      </c>
      <c r="M712" s="98">
        <v>5.3</v>
      </c>
      <c r="N712" s="99">
        <f>K712*M712</f>
        <v>249100</v>
      </c>
      <c r="O712" s="62">
        <f>0.0025*K712</f>
        <v>117.5</v>
      </c>
      <c r="Q712" s="100">
        <v>9.84</v>
      </c>
      <c r="T712" s="62">
        <f>(5.3-Q712)*K712</f>
        <v>-213380</v>
      </c>
      <c r="AB712" s="41" t="s">
        <v>296</v>
      </c>
    </row>
    <row r="713" spans="1:28" x14ac:dyDescent="0.2">
      <c r="A713" s="91">
        <v>97</v>
      </c>
      <c r="C713" s="92">
        <v>36833</v>
      </c>
      <c r="D713" s="41" t="s">
        <v>263</v>
      </c>
      <c r="F713" s="41" t="s">
        <v>21</v>
      </c>
      <c r="G713" s="41" t="s">
        <v>112</v>
      </c>
      <c r="H713" s="93">
        <v>0.34749999999999998</v>
      </c>
      <c r="I713" s="94">
        <f>+H713*K713</f>
        <v>16332.499999999998</v>
      </c>
      <c r="J713" s="95">
        <v>36923</v>
      </c>
      <c r="K713" s="96">
        <f>+K712</f>
        <v>47000</v>
      </c>
      <c r="L713" s="97" t="s">
        <v>25</v>
      </c>
      <c r="M713" s="98">
        <v>5.3</v>
      </c>
      <c r="N713" s="99">
        <f>K713*M713</f>
        <v>249100</v>
      </c>
      <c r="O713" s="62">
        <f>0.0025*K713</f>
        <v>117.5</v>
      </c>
      <c r="AB713" s="41" t="s">
        <v>296</v>
      </c>
    </row>
    <row r="714" spans="1:28" x14ac:dyDescent="0.2">
      <c r="A714" s="91">
        <v>97</v>
      </c>
      <c r="C714" s="92">
        <v>36833</v>
      </c>
      <c r="D714" s="41" t="s">
        <v>263</v>
      </c>
      <c r="F714" s="41" t="s">
        <v>21</v>
      </c>
      <c r="G714" s="41" t="s">
        <v>112</v>
      </c>
      <c r="H714" s="93">
        <v>0.34749999999999998</v>
      </c>
      <c r="I714" s="94">
        <f>+H714*K714</f>
        <v>16332.499999999998</v>
      </c>
      <c r="J714" s="95">
        <v>36951</v>
      </c>
      <c r="K714" s="96">
        <f>+K713</f>
        <v>47000</v>
      </c>
      <c r="L714" s="97" t="s">
        <v>25</v>
      </c>
      <c r="M714" s="98">
        <v>5.3</v>
      </c>
      <c r="N714" s="99">
        <f>K714*M714</f>
        <v>249100</v>
      </c>
      <c r="O714" s="62">
        <f>0.0025*K714</f>
        <v>117.5</v>
      </c>
      <c r="AB714" s="41" t="s">
        <v>296</v>
      </c>
    </row>
    <row r="716" spans="1:28" x14ac:dyDescent="0.2">
      <c r="A716" s="91">
        <v>98</v>
      </c>
      <c r="C716" s="92">
        <v>36839</v>
      </c>
      <c r="D716" s="41" t="s">
        <v>13</v>
      </c>
      <c r="E716" s="41" t="s">
        <v>14</v>
      </c>
      <c r="F716" s="41" t="s">
        <v>15</v>
      </c>
      <c r="G716" s="41" t="s">
        <v>198</v>
      </c>
      <c r="H716" s="93">
        <v>0</v>
      </c>
      <c r="I716" s="94">
        <f t="shared" ref="I716:I721" si="173">+H716*K716</f>
        <v>0</v>
      </c>
      <c r="J716" s="95">
        <v>36617</v>
      </c>
      <c r="K716" s="96">
        <v>805151</v>
      </c>
      <c r="L716" s="97" t="s">
        <v>25</v>
      </c>
      <c r="M716" s="98">
        <v>4.5</v>
      </c>
      <c r="N716" s="99">
        <f t="shared" ref="N716:N721" si="174">K716*M716</f>
        <v>3623179.5</v>
      </c>
      <c r="O716" s="62">
        <f t="shared" ref="O716:O721" si="175">0.02*K716</f>
        <v>16103.02</v>
      </c>
      <c r="R716" s="101">
        <v>4.62</v>
      </c>
      <c r="U716" s="62">
        <f t="shared" ref="U716:U721" si="176">(M716-R716)*K716</f>
        <v>-96618.120000000083</v>
      </c>
      <c r="Y716" s="41" t="s">
        <v>59</v>
      </c>
      <c r="AA716" s="91" t="s">
        <v>202</v>
      </c>
      <c r="AB716" s="41" t="s">
        <v>296</v>
      </c>
    </row>
    <row r="717" spans="1:28" x14ac:dyDescent="0.2">
      <c r="A717" s="91">
        <v>98</v>
      </c>
      <c r="C717" s="92">
        <v>36839</v>
      </c>
      <c r="D717" s="41" t="s">
        <v>13</v>
      </c>
      <c r="E717" s="41" t="s">
        <v>14</v>
      </c>
      <c r="F717" s="41" t="s">
        <v>15</v>
      </c>
      <c r="G717" s="41" t="s">
        <v>198</v>
      </c>
      <c r="H717" s="93">
        <v>0</v>
      </c>
      <c r="I717" s="94">
        <f t="shared" si="173"/>
        <v>0</v>
      </c>
      <c r="J717" s="95">
        <v>36647</v>
      </c>
      <c r="K717" s="96">
        <v>805151</v>
      </c>
      <c r="L717" s="97" t="s">
        <v>25</v>
      </c>
      <c r="M717" s="98">
        <v>4.5</v>
      </c>
      <c r="N717" s="99">
        <f t="shared" si="174"/>
        <v>3623179.5</v>
      </c>
      <c r="O717" s="62">
        <f t="shared" si="175"/>
        <v>16103.02</v>
      </c>
      <c r="R717" s="101">
        <v>4.5269999999999992</v>
      </c>
      <c r="U717" s="62">
        <f t="shared" si="176"/>
        <v>-21739.076999999394</v>
      </c>
      <c r="AA717" s="91" t="s">
        <v>202</v>
      </c>
      <c r="AB717" s="41" t="s">
        <v>296</v>
      </c>
    </row>
    <row r="718" spans="1:28" x14ac:dyDescent="0.2">
      <c r="A718" s="91">
        <v>98</v>
      </c>
      <c r="C718" s="92">
        <v>36839</v>
      </c>
      <c r="D718" s="41" t="s">
        <v>13</v>
      </c>
      <c r="E718" s="41" t="s">
        <v>14</v>
      </c>
      <c r="F718" s="41" t="s">
        <v>15</v>
      </c>
      <c r="G718" s="41" t="s">
        <v>198</v>
      </c>
      <c r="H718" s="93">
        <v>0</v>
      </c>
      <c r="I718" s="94">
        <f t="shared" si="173"/>
        <v>0</v>
      </c>
      <c r="J718" s="95">
        <v>36678</v>
      </c>
      <c r="K718" s="96">
        <v>805151</v>
      </c>
      <c r="L718" s="97" t="s">
        <v>25</v>
      </c>
      <c r="M718" s="98">
        <v>4.5</v>
      </c>
      <c r="N718" s="99">
        <f t="shared" si="174"/>
        <v>3623179.5</v>
      </c>
      <c r="O718" s="62">
        <f t="shared" si="175"/>
        <v>16103.02</v>
      </c>
      <c r="R718" s="101">
        <v>4.5199999999999996</v>
      </c>
      <c r="U718" s="62">
        <f t="shared" si="176"/>
        <v>-16103.019999999657</v>
      </c>
      <c r="AA718" s="91" t="s">
        <v>202</v>
      </c>
      <c r="AB718" s="41" t="s">
        <v>296</v>
      </c>
    </row>
    <row r="719" spans="1:28" x14ac:dyDescent="0.2">
      <c r="A719" s="91">
        <v>98</v>
      </c>
      <c r="C719" s="92">
        <v>36839</v>
      </c>
      <c r="D719" s="41" t="s">
        <v>13</v>
      </c>
      <c r="E719" s="41" t="s">
        <v>14</v>
      </c>
      <c r="F719" s="41" t="s">
        <v>15</v>
      </c>
      <c r="G719" s="41" t="s">
        <v>198</v>
      </c>
      <c r="H719" s="93">
        <v>0</v>
      </c>
      <c r="I719" s="94">
        <f t="shared" si="173"/>
        <v>0</v>
      </c>
      <c r="J719" s="95">
        <v>36708</v>
      </c>
      <c r="K719" s="96">
        <v>805151</v>
      </c>
      <c r="L719" s="97" t="s">
        <v>25</v>
      </c>
      <c r="M719" s="98">
        <v>4.5</v>
      </c>
      <c r="N719" s="99">
        <f t="shared" si="174"/>
        <v>3623179.5</v>
      </c>
      <c r="O719" s="62">
        <f t="shared" si="175"/>
        <v>16103.02</v>
      </c>
      <c r="R719" s="101">
        <v>4.5069999999999997</v>
      </c>
      <c r="U719" s="62">
        <f t="shared" si="176"/>
        <v>-5636.0569999997369</v>
      </c>
      <c r="AA719" s="91" t="s">
        <v>202</v>
      </c>
      <c r="AB719" s="41" t="s">
        <v>296</v>
      </c>
    </row>
    <row r="720" spans="1:28" x14ac:dyDescent="0.2">
      <c r="A720" s="91">
        <v>98</v>
      </c>
      <c r="C720" s="92">
        <v>36839</v>
      </c>
      <c r="D720" s="41" t="s">
        <v>13</v>
      </c>
      <c r="E720" s="41" t="s">
        <v>14</v>
      </c>
      <c r="F720" s="41" t="s">
        <v>15</v>
      </c>
      <c r="G720" s="41" t="s">
        <v>198</v>
      </c>
      <c r="H720" s="93">
        <v>0</v>
      </c>
      <c r="I720" s="94">
        <f t="shared" si="173"/>
        <v>0</v>
      </c>
      <c r="J720" s="95">
        <v>36739</v>
      </c>
      <c r="K720" s="96">
        <v>805151</v>
      </c>
      <c r="L720" s="97" t="s">
        <v>25</v>
      </c>
      <c r="M720" s="98">
        <v>4.5</v>
      </c>
      <c r="N720" s="99">
        <f t="shared" si="174"/>
        <v>3623179.5</v>
      </c>
      <c r="O720" s="62">
        <f t="shared" si="175"/>
        <v>16103.02</v>
      </c>
      <c r="R720" s="101">
        <v>4.5199999999999996</v>
      </c>
      <c r="U720" s="62">
        <f t="shared" si="176"/>
        <v>-16103.019999999657</v>
      </c>
      <c r="AA720" s="91" t="s">
        <v>202</v>
      </c>
      <c r="AB720" s="41" t="s">
        <v>296</v>
      </c>
    </row>
    <row r="721" spans="1:28" x14ac:dyDescent="0.2">
      <c r="A721" s="91">
        <v>98</v>
      </c>
      <c r="C721" s="92">
        <v>36839</v>
      </c>
      <c r="D721" s="41" t="s">
        <v>13</v>
      </c>
      <c r="E721" s="41" t="s">
        <v>14</v>
      </c>
      <c r="F721" s="41" t="s">
        <v>15</v>
      </c>
      <c r="G721" s="41" t="s">
        <v>198</v>
      </c>
      <c r="H721" s="93">
        <v>0</v>
      </c>
      <c r="I721" s="94">
        <f t="shared" si="173"/>
        <v>0</v>
      </c>
      <c r="J721" s="95">
        <v>36770</v>
      </c>
      <c r="K721" s="96">
        <v>805151</v>
      </c>
      <c r="L721" s="97" t="s">
        <v>25</v>
      </c>
      <c r="M721" s="98">
        <v>4.5</v>
      </c>
      <c r="N721" s="99">
        <f t="shared" si="174"/>
        <v>3623179.5</v>
      </c>
      <c r="O721" s="62">
        <f t="shared" si="175"/>
        <v>16103.02</v>
      </c>
      <c r="R721" s="101">
        <v>4.51</v>
      </c>
      <c r="U721" s="62">
        <f t="shared" si="176"/>
        <v>-8051.5099999998283</v>
      </c>
      <c r="AA721" s="91" t="s">
        <v>202</v>
      </c>
      <c r="AB721" s="41" t="s">
        <v>296</v>
      </c>
    </row>
    <row r="723" spans="1:28" x14ac:dyDescent="0.2">
      <c r="A723" s="91">
        <v>99</v>
      </c>
      <c r="B723" s="91" t="s">
        <v>311</v>
      </c>
      <c r="C723" s="92">
        <v>36843</v>
      </c>
      <c r="D723" s="41" t="s">
        <v>183</v>
      </c>
      <c r="E723" s="41" t="s">
        <v>14</v>
      </c>
      <c r="F723" s="41" t="s">
        <v>21</v>
      </c>
      <c r="G723" s="105" t="s">
        <v>312</v>
      </c>
      <c r="J723" s="106" t="s">
        <v>278</v>
      </c>
      <c r="M723" s="98"/>
      <c r="O723" s="62">
        <v>0</v>
      </c>
      <c r="T723" s="62">
        <v>-450466</v>
      </c>
      <c r="AB723" s="41" t="s">
        <v>296</v>
      </c>
    </row>
    <row r="725" spans="1:28" x14ac:dyDescent="0.2">
      <c r="A725" s="91">
        <v>100</v>
      </c>
      <c r="C725" s="92">
        <v>36861</v>
      </c>
      <c r="D725" s="41" t="s">
        <v>183</v>
      </c>
      <c r="E725" s="41" t="s">
        <v>14</v>
      </c>
      <c r="F725" s="41" t="s">
        <v>21</v>
      </c>
      <c r="G725" s="41" t="s">
        <v>198</v>
      </c>
      <c r="H725" s="93">
        <v>0</v>
      </c>
      <c r="I725" s="94">
        <f t="shared" ref="I725:I767" si="177">+H725*K725</f>
        <v>0</v>
      </c>
      <c r="J725" s="95">
        <v>37316</v>
      </c>
      <c r="K725" s="96">
        <v>165000</v>
      </c>
      <c r="L725" s="97" t="s">
        <v>25</v>
      </c>
      <c r="M725" s="98">
        <v>4.05</v>
      </c>
      <c r="N725" s="99">
        <f t="shared" ref="N725:N767" si="178">K725*M725</f>
        <v>668250</v>
      </c>
      <c r="O725" s="62">
        <f t="shared" ref="O725:O767" si="179">0.0275*K725</f>
        <v>4537.5</v>
      </c>
      <c r="Q725" s="100" t="s">
        <v>298</v>
      </c>
      <c r="T725" s="100" t="s">
        <v>298</v>
      </c>
      <c r="AB725" s="41" t="s">
        <v>296</v>
      </c>
    </row>
    <row r="726" spans="1:28" x14ac:dyDescent="0.2">
      <c r="A726" s="91">
        <v>100</v>
      </c>
      <c r="C726" s="92">
        <v>36861</v>
      </c>
      <c r="D726" s="41" t="s">
        <v>183</v>
      </c>
      <c r="E726" s="41" t="s">
        <v>14</v>
      </c>
      <c r="F726" s="41" t="s">
        <v>21</v>
      </c>
      <c r="G726" s="41" t="s">
        <v>198</v>
      </c>
      <c r="H726" s="93">
        <v>0</v>
      </c>
      <c r="I726" s="94">
        <f t="shared" si="177"/>
        <v>0</v>
      </c>
      <c r="J726" s="95">
        <v>37347</v>
      </c>
      <c r="K726" s="96">
        <f t="shared" ref="K726:K767" si="180">+K725</f>
        <v>165000</v>
      </c>
      <c r="L726" s="97" t="s">
        <v>25</v>
      </c>
      <c r="M726" s="98">
        <f t="shared" ref="M726:M767" si="181">+M725</f>
        <v>4.05</v>
      </c>
      <c r="N726" s="99">
        <f t="shared" si="178"/>
        <v>668250</v>
      </c>
      <c r="O726" s="62">
        <f t="shared" si="179"/>
        <v>4537.5</v>
      </c>
      <c r="Q726" s="100" t="s">
        <v>298</v>
      </c>
      <c r="T726" s="100" t="s">
        <v>298</v>
      </c>
      <c r="AB726" s="41" t="s">
        <v>296</v>
      </c>
    </row>
    <row r="727" spans="1:28" outlineLevel="1" x14ac:dyDescent="0.2">
      <c r="A727" s="91">
        <v>100</v>
      </c>
      <c r="C727" s="92">
        <v>36861</v>
      </c>
      <c r="D727" s="41" t="s">
        <v>183</v>
      </c>
      <c r="E727" s="41" t="s">
        <v>14</v>
      </c>
      <c r="F727" s="41" t="s">
        <v>21</v>
      </c>
      <c r="G727" s="41" t="s">
        <v>198</v>
      </c>
      <c r="H727" s="93">
        <v>0</v>
      </c>
      <c r="I727" s="94">
        <f t="shared" si="177"/>
        <v>0</v>
      </c>
      <c r="J727" s="95">
        <v>37377</v>
      </c>
      <c r="K727" s="96">
        <f t="shared" si="180"/>
        <v>165000</v>
      </c>
      <c r="L727" s="97" t="s">
        <v>25</v>
      </c>
      <c r="M727" s="98">
        <f t="shared" si="181"/>
        <v>4.05</v>
      </c>
      <c r="N727" s="99">
        <f t="shared" si="178"/>
        <v>668250</v>
      </c>
      <c r="O727" s="62">
        <f t="shared" si="179"/>
        <v>4537.5</v>
      </c>
      <c r="Q727" s="100" t="s">
        <v>298</v>
      </c>
      <c r="T727" s="100" t="s">
        <v>298</v>
      </c>
      <c r="AB727" s="41" t="s">
        <v>296</v>
      </c>
    </row>
    <row r="728" spans="1:28" outlineLevel="1" x14ac:dyDescent="0.2">
      <c r="A728" s="91">
        <v>100</v>
      </c>
      <c r="C728" s="92">
        <v>36861</v>
      </c>
      <c r="D728" s="41" t="s">
        <v>183</v>
      </c>
      <c r="E728" s="41" t="s">
        <v>14</v>
      </c>
      <c r="F728" s="41" t="s">
        <v>21</v>
      </c>
      <c r="G728" s="41" t="s">
        <v>198</v>
      </c>
      <c r="H728" s="93">
        <v>0</v>
      </c>
      <c r="I728" s="94">
        <f t="shared" si="177"/>
        <v>0</v>
      </c>
      <c r="J728" s="95">
        <v>37408</v>
      </c>
      <c r="K728" s="96">
        <f t="shared" si="180"/>
        <v>165000</v>
      </c>
      <c r="L728" s="97" t="s">
        <v>25</v>
      </c>
      <c r="M728" s="98">
        <f t="shared" si="181"/>
        <v>4.05</v>
      </c>
      <c r="N728" s="99">
        <f t="shared" si="178"/>
        <v>668250</v>
      </c>
      <c r="O728" s="62">
        <f t="shared" si="179"/>
        <v>4537.5</v>
      </c>
      <c r="Q728" s="100" t="s">
        <v>298</v>
      </c>
      <c r="T728" s="100" t="s">
        <v>298</v>
      </c>
      <c r="AB728" s="41" t="s">
        <v>296</v>
      </c>
    </row>
    <row r="729" spans="1:28" outlineLevel="1" x14ac:dyDescent="0.2">
      <c r="A729" s="91">
        <v>100</v>
      </c>
      <c r="C729" s="92">
        <v>36861</v>
      </c>
      <c r="D729" s="41" t="s">
        <v>183</v>
      </c>
      <c r="E729" s="41" t="s">
        <v>14</v>
      </c>
      <c r="F729" s="41" t="s">
        <v>21</v>
      </c>
      <c r="G729" s="41" t="s">
        <v>198</v>
      </c>
      <c r="H729" s="93">
        <v>0</v>
      </c>
      <c r="I729" s="94">
        <f t="shared" si="177"/>
        <v>0</v>
      </c>
      <c r="J729" s="95">
        <v>37438</v>
      </c>
      <c r="K729" s="96">
        <f t="shared" si="180"/>
        <v>165000</v>
      </c>
      <c r="L729" s="97" t="s">
        <v>25</v>
      </c>
      <c r="M729" s="98">
        <f t="shared" si="181"/>
        <v>4.05</v>
      </c>
      <c r="N729" s="99">
        <f t="shared" si="178"/>
        <v>668250</v>
      </c>
      <c r="O729" s="62">
        <f t="shared" si="179"/>
        <v>4537.5</v>
      </c>
      <c r="Q729" s="100" t="s">
        <v>298</v>
      </c>
      <c r="T729" s="100" t="s">
        <v>298</v>
      </c>
      <c r="AB729" s="41" t="s">
        <v>296</v>
      </c>
    </row>
    <row r="730" spans="1:28" outlineLevel="1" x14ac:dyDescent="0.2">
      <c r="A730" s="91">
        <v>100</v>
      </c>
      <c r="C730" s="92">
        <v>36861</v>
      </c>
      <c r="D730" s="41" t="s">
        <v>183</v>
      </c>
      <c r="E730" s="41" t="s">
        <v>14</v>
      </c>
      <c r="F730" s="41" t="s">
        <v>21</v>
      </c>
      <c r="G730" s="41" t="s">
        <v>198</v>
      </c>
      <c r="H730" s="93">
        <v>0</v>
      </c>
      <c r="I730" s="94">
        <f t="shared" si="177"/>
        <v>0</v>
      </c>
      <c r="J730" s="95">
        <v>37469</v>
      </c>
      <c r="K730" s="96">
        <f t="shared" si="180"/>
        <v>165000</v>
      </c>
      <c r="L730" s="97" t="s">
        <v>25</v>
      </c>
      <c r="M730" s="98">
        <f t="shared" si="181"/>
        <v>4.05</v>
      </c>
      <c r="N730" s="99">
        <f t="shared" si="178"/>
        <v>668250</v>
      </c>
      <c r="O730" s="62">
        <f t="shared" si="179"/>
        <v>4537.5</v>
      </c>
      <c r="Q730" s="100" t="s">
        <v>298</v>
      </c>
      <c r="T730" s="100" t="s">
        <v>298</v>
      </c>
      <c r="AB730" s="41" t="s">
        <v>296</v>
      </c>
    </row>
    <row r="731" spans="1:28" outlineLevel="1" x14ac:dyDescent="0.2">
      <c r="A731" s="91">
        <v>100</v>
      </c>
      <c r="C731" s="92">
        <v>36861</v>
      </c>
      <c r="D731" s="41" t="s">
        <v>183</v>
      </c>
      <c r="E731" s="41" t="s">
        <v>14</v>
      </c>
      <c r="F731" s="41" t="s">
        <v>21</v>
      </c>
      <c r="G731" s="41" t="s">
        <v>198</v>
      </c>
      <c r="H731" s="93">
        <v>0</v>
      </c>
      <c r="I731" s="94">
        <f t="shared" si="177"/>
        <v>0</v>
      </c>
      <c r="J731" s="95">
        <v>37500</v>
      </c>
      <c r="K731" s="96">
        <f t="shared" si="180"/>
        <v>165000</v>
      </c>
      <c r="L731" s="97" t="s">
        <v>25</v>
      </c>
      <c r="M731" s="98">
        <f t="shared" si="181"/>
        <v>4.05</v>
      </c>
      <c r="N731" s="99">
        <f t="shared" si="178"/>
        <v>668250</v>
      </c>
      <c r="O731" s="62">
        <f t="shared" si="179"/>
        <v>4537.5</v>
      </c>
      <c r="Q731" s="100" t="s">
        <v>298</v>
      </c>
      <c r="T731" s="100" t="s">
        <v>298</v>
      </c>
      <c r="AB731" s="41" t="s">
        <v>296</v>
      </c>
    </row>
    <row r="732" spans="1:28" outlineLevel="1" x14ac:dyDescent="0.2">
      <c r="A732" s="91">
        <v>100</v>
      </c>
      <c r="C732" s="92">
        <v>36861</v>
      </c>
      <c r="D732" s="41" t="s">
        <v>183</v>
      </c>
      <c r="E732" s="41" t="s">
        <v>14</v>
      </c>
      <c r="F732" s="41" t="s">
        <v>21</v>
      </c>
      <c r="G732" s="41" t="s">
        <v>198</v>
      </c>
      <c r="H732" s="93">
        <v>0</v>
      </c>
      <c r="I732" s="94">
        <f t="shared" si="177"/>
        <v>0</v>
      </c>
      <c r="J732" s="95">
        <v>37530</v>
      </c>
      <c r="K732" s="96">
        <f t="shared" si="180"/>
        <v>165000</v>
      </c>
      <c r="L732" s="97" t="s">
        <v>25</v>
      </c>
      <c r="M732" s="98">
        <f t="shared" si="181"/>
        <v>4.05</v>
      </c>
      <c r="N732" s="99">
        <f t="shared" si="178"/>
        <v>668250</v>
      </c>
      <c r="O732" s="62">
        <f t="shared" si="179"/>
        <v>4537.5</v>
      </c>
      <c r="Q732" s="100" t="s">
        <v>298</v>
      </c>
      <c r="T732" s="100" t="s">
        <v>298</v>
      </c>
      <c r="AB732" s="41" t="s">
        <v>296</v>
      </c>
    </row>
    <row r="733" spans="1:28" outlineLevel="1" x14ac:dyDescent="0.2">
      <c r="A733" s="91">
        <v>100</v>
      </c>
      <c r="C733" s="92">
        <v>36861</v>
      </c>
      <c r="D733" s="41" t="s">
        <v>183</v>
      </c>
      <c r="E733" s="41" t="s">
        <v>14</v>
      </c>
      <c r="F733" s="41" t="s">
        <v>21</v>
      </c>
      <c r="G733" s="41" t="s">
        <v>198</v>
      </c>
      <c r="H733" s="93">
        <v>0</v>
      </c>
      <c r="I733" s="94">
        <f t="shared" si="177"/>
        <v>0</v>
      </c>
      <c r="J733" s="95">
        <v>37561</v>
      </c>
      <c r="K733" s="96">
        <f t="shared" si="180"/>
        <v>165000</v>
      </c>
      <c r="L733" s="97" t="s">
        <v>25</v>
      </c>
      <c r="M733" s="98">
        <f t="shared" si="181"/>
        <v>4.05</v>
      </c>
      <c r="N733" s="99">
        <f t="shared" si="178"/>
        <v>668250</v>
      </c>
      <c r="O733" s="62">
        <f t="shared" si="179"/>
        <v>4537.5</v>
      </c>
      <c r="Q733" s="100" t="s">
        <v>298</v>
      </c>
      <c r="T733" s="100" t="s">
        <v>298</v>
      </c>
      <c r="AB733" s="41" t="s">
        <v>296</v>
      </c>
    </row>
    <row r="734" spans="1:28" outlineLevel="1" x14ac:dyDescent="0.2">
      <c r="A734" s="91">
        <v>100</v>
      </c>
      <c r="C734" s="92">
        <v>36861</v>
      </c>
      <c r="D734" s="41" t="s">
        <v>183</v>
      </c>
      <c r="E734" s="41" t="s">
        <v>14</v>
      </c>
      <c r="F734" s="41" t="s">
        <v>21</v>
      </c>
      <c r="G734" s="41" t="s">
        <v>198</v>
      </c>
      <c r="H734" s="93">
        <v>0</v>
      </c>
      <c r="I734" s="94">
        <f t="shared" si="177"/>
        <v>0</v>
      </c>
      <c r="J734" s="95">
        <v>37591</v>
      </c>
      <c r="K734" s="96">
        <f t="shared" si="180"/>
        <v>165000</v>
      </c>
      <c r="L734" s="97" t="s">
        <v>25</v>
      </c>
      <c r="M734" s="98">
        <f t="shared" si="181"/>
        <v>4.05</v>
      </c>
      <c r="N734" s="99">
        <f t="shared" si="178"/>
        <v>668250</v>
      </c>
      <c r="O734" s="62">
        <f t="shared" si="179"/>
        <v>4537.5</v>
      </c>
      <c r="Q734" s="100" t="s">
        <v>298</v>
      </c>
      <c r="T734" s="100" t="s">
        <v>298</v>
      </c>
      <c r="AB734" s="41" t="s">
        <v>296</v>
      </c>
    </row>
    <row r="735" spans="1:28" outlineLevel="1" x14ac:dyDescent="0.2">
      <c r="A735" s="91">
        <v>100</v>
      </c>
      <c r="C735" s="92">
        <v>36861</v>
      </c>
      <c r="D735" s="41" t="s">
        <v>183</v>
      </c>
      <c r="E735" s="41" t="s">
        <v>14</v>
      </c>
      <c r="F735" s="41" t="s">
        <v>21</v>
      </c>
      <c r="G735" s="41" t="s">
        <v>198</v>
      </c>
      <c r="H735" s="93">
        <v>0</v>
      </c>
      <c r="I735" s="94">
        <f t="shared" si="177"/>
        <v>0</v>
      </c>
      <c r="J735" s="95">
        <v>37622</v>
      </c>
      <c r="K735" s="96">
        <f t="shared" si="180"/>
        <v>165000</v>
      </c>
      <c r="L735" s="97" t="s">
        <v>25</v>
      </c>
      <c r="M735" s="98">
        <f t="shared" si="181"/>
        <v>4.05</v>
      </c>
      <c r="N735" s="99">
        <f t="shared" si="178"/>
        <v>668250</v>
      </c>
      <c r="O735" s="62">
        <f t="shared" si="179"/>
        <v>4537.5</v>
      </c>
      <c r="Q735" s="100" t="s">
        <v>298</v>
      </c>
      <c r="T735" s="100" t="s">
        <v>298</v>
      </c>
      <c r="AB735" s="41" t="s">
        <v>296</v>
      </c>
    </row>
    <row r="736" spans="1:28" outlineLevel="1" x14ac:dyDescent="0.2">
      <c r="A736" s="91">
        <v>100</v>
      </c>
      <c r="C736" s="92">
        <v>36861</v>
      </c>
      <c r="D736" s="41" t="s">
        <v>183</v>
      </c>
      <c r="E736" s="41" t="s">
        <v>14</v>
      </c>
      <c r="F736" s="41" t="s">
        <v>21</v>
      </c>
      <c r="G736" s="41" t="s">
        <v>198</v>
      </c>
      <c r="H736" s="93">
        <v>0</v>
      </c>
      <c r="I736" s="94">
        <f t="shared" si="177"/>
        <v>0</v>
      </c>
      <c r="J736" s="95">
        <v>37653</v>
      </c>
      <c r="K736" s="96">
        <f t="shared" si="180"/>
        <v>165000</v>
      </c>
      <c r="L736" s="97" t="s">
        <v>25</v>
      </c>
      <c r="M736" s="98">
        <f t="shared" si="181"/>
        <v>4.05</v>
      </c>
      <c r="N736" s="99">
        <f t="shared" si="178"/>
        <v>668250</v>
      </c>
      <c r="O736" s="62">
        <f t="shared" si="179"/>
        <v>4537.5</v>
      </c>
      <c r="Q736" s="100" t="s">
        <v>298</v>
      </c>
      <c r="T736" s="100" t="s">
        <v>298</v>
      </c>
      <c r="AB736" s="41" t="s">
        <v>296</v>
      </c>
    </row>
    <row r="737" spans="1:28" outlineLevel="1" x14ac:dyDescent="0.2">
      <c r="A737" s="91">
        <v>100</v>
      </c>
      <c r="C737" s="92">
        <v>36861</v>
      </c>
      <c r="D737" s="41" t="s">
        <v>183</v>
      </c>
      <c r="E737" s="41" t="s">
        <v>14</v>
      </c>
      <c r="F737" s="41" t="s">
        <v>21</v>
      </c>
      <c r="G737" s="41" t="s">
        <v>198</v>
      </c>
      <c r="H737" s="93">
        <v>0</v>
      </c>
      <c r="I737" s="94">
        <f t="shared" si="177"/>
        <v>0</v>
      </c>
      <c r="J737" s="95">
        <v>37681</v>
      </c>
      <c r="K737" s="96">
        <f t="shared" si="180"/>
        <v>165000</v>
      </c>
      <c r="L737" s="97" t="s">
        <v>25</v>
      </c>
      <c r="M737" s="98">
        <f t="shared" si="181"/>
        <v>4.05</v>
      </c>
      <c r="N737" s="99">
        <f t="shared" si="178"/>
        <v>668250</v>
      </c>
      <c r="O737" s="62">
        <f t="shared" si="179"/>
        <v>4537.5</v>
      </c>
      <c r="Q737" s="100" t="s">
        <v>298</v>
      </c>
      <c r="T737" s="100" t="s">
        <v>298</v>
      </c>
      <c r="AB737" s="41" t="s">
        <v>296</v>
      </c>
    </row>
    <row r="738" spans="1:28" outlineLevel="1" x14ac:dyDescent="0.2">
      <c r="A738" s="91">
        <v>100</v>
      </c>
      <c r="C738" s="92">
        <v>36861</v>
      </c>
      <c r="D738" s="41" t="s">
        <v>183</v>
      </c>
      <c r="E738" s="41" t="s">
        <v>14</v>
      </c>
      <c r="F738" s="41" t="s">
        <v>21</v>
      </c>
      <c r="G738" s="41" t="s">
        <v>198</v>
      </c>
      <c r="H738" s="93">
        <v>0</v>
      </c>
      <c r="I738" s="94">
        <f t="shared" si="177"/>
        <v>0</v>
      </c>
      <c r="J738" s="95">
        <v>37712</v>
      </c>
      <c r="K738" s="96">
        <f t="shared" si="180"/>
        <v>165000</v>
      </c>
      <c r="L738" s="97" t="s">
        <v>25</v>
      </c>
      <c r="M738" s="98">
        <f t="shared" si="181"/>
        <v>4.05</v>
      </c>
      <c r="N738" s="99">
        <f t="shared" si="178"/>
        <v>668250</v>
      </c>
      <c r="O738" s="62">
        <f t="shared" si="179"/>
        <v>4537.5</v>
      </c>
      <c r="Q738" s="100" t="s">
        <v>298</v>
      </c>
      <c r="T738" s="100" t="s">
        <v>298</v>
      </c>
      <c r="AB738" s="41" t="s">
        <v>296</v>
      </c>
    </row>
    <row r="739" spans="1:28" outlineLevel="1" x14ac:dyDescent="0.2">
      <c r="A739" s="91">
        <v>100</v>
      </c>
      <c r="C739" s="92">
        <v>36861</v>
      </c>
      <c r="D739" s="41" t="s">
        <v>183</v>
      </c>
      <c r="E739" s="41" t="s">
        <v>14</v>
      </c>
      <c r="F739" s="41" t="s">
        <v>21</v>
      </c>
      <c r="G739" s="41" t="s">
        <v>198</v>
      </c>
      <c r="H739" s="93">
        <v>0</v>
      </c>
      <c r="I739" s="94">
        <f t="shared" si="177"/>
        <v>0</v>
      </c>
      <c r="J739" s="95">
        <v>37742</v>
      </c>
      <c r="K739" s="96">
        <f t="shared" si="180"/>
        <v>165000</v>
      </c>
      <c r="L739" s="97" t="s">
        <v>25</v>
      </c>
      <c r="M739" s="98">
        <f t="shared" si="181"/>
        <v>4.05</v>
      </c>
      <c r="N739" s="99">
        <f t="shared" si="178"/>
        <v>668250</v>
      </c>
      <c r="O739" s="62">
        <f t="shared" si="179"/>
        <v>4537.5</v>
      </c>
      <c r="Q739" s="100" t="s">
        <v>298</v>
      </c>
      <c r="T739" s="100" t="s">
        <v>298</v>
      </c>
      <c r="AB739" s="41" t="s">
        <v>296</v>
      </c>
    </row>
    <row r="740" spans="1:28" outlineLevel="1" x14ac:dyDescent="0.2">
      <c r="A740" s="91">
        <v>100</v>
      </c>
      <c r="C740" s="92">
        <v>36861</v>
      </c>
      <c r="D740" s="41" t="s">
        <v>183</v>
      </c>
      <c r="E740" s="41" t="s">
        <v>14</v>
      </c>
      <c r="F740" s="41" t="s">
        <v>21</v>
      </c>
      <c r="G740" s="41" t="s">
        <v>198</v>
      </c>
      <c r="H740" s="93">
        <v>0</v>
      </c>
      <c r="I740" s="94">
        <f t="shared" si="177"/>
        <v>0</v>
      </c>
      <c r="J740" s="95">
        <v>37773</v>
      </c>
      <c r="K740" s="96">
        <f t="shared" si="180"/>
        <v>165000</v>
      </c>
      <c r="L740" s="97" t="s">
        <v>25</v>
      </c>
      <c r="M740" s="98">
        <f t="shared" si="181"/>
        <v>4.05</v>
      </c>
      <c r="N740" s="99">
        <f t="shared" si="178"/>
        <v>668250</v>
      </c>
      <c r="O740" s="62">
        <f t="shared" si="179"/>
        <v>4537.5</v>
      </c>
      <c r="Q740" s="100" t="s">
        <v>298</v>
      </c>
      <c r="T740" s="100" t="s">
        <v>298</v>
      </c>
      <c r="AB740" s="41" t="s">
        <v>296</v>
      </c>
    </row>
    <row r="741" spans="1:28" outlineLevel="1" x14ac:dyDescent="0.2">
      <c r="A741" s="91">
        <v>100</v>
      </c>
      <c r="C741" s="92">
        <v>36861</v>
      </c>
      <c r="D741" s="41" t="s">
        <v>183</v>
      </c>
      <c r="E741" s="41" t="s">
        <v>14</v>
      </c>
      <c r="F741" s="41" t="s">
        <v>21</v>
      </c>
      <c r="G741" s="41" t="s">
        <v>198</v>
      </c>
      <c r="H741" s="93">
        <v>0</v>
      </c>
      <c r="I741" s="94">
        <f t="shared" si="177"/>
        <v>0</v>
      </c>
      <c r="J741" s="95">
        <v>37803</v>
      </c>
      <c r="K741" s="96">
        <f t="shared" si="180"/>
        <v>165000</v>
      </c>
      <c r="L741" s="97" t="s">
        <v>25</v>
      </c>
      <c r="M741" s="98">
        <f t="shared" si="181"/>
        <v>4.05</v>
      </c>
      <c r="N741" s="99">
        <f t="shared" si="178"/>
        <v>668250</v>
      </c>
      <c r="O741" s="62">
        <f t="shared" si="179"/>
        <v>4537.5</v>
      </c>
      <c r="Q741" s="100" t="s">
        <v>298</v>
      </c>
      <c r="T741" s="100" t="s">
        <v>298</v>
      </c>
      <c r="AB741" s="41" t="s">
        <v>296</v>
      </c>
    </row>
    <row r="742" spans="1:28" outlineLevel="1" x14ac:dyDescent="0.2">
      <c r="A742" s="91">
        <v>100</v>
      </c>
      <c r="C742" s="92">
        <v>36861</v>
      </c>
      <c r="D742" s="41" t="s">
        <v>183</v>
      </c>
      <c r="E742" s="41" t="s">
        <v>14</v>
      </c>
      <c r="F742" s="41" t="s">
        <v>21</v>
      </c>
      <c r="G742" s="41" t="s">
        <v>198</v>
      </c>
      <c r="H742" s="93">
        <v>0</v>
      </c>
      <c r="I742" s="94">
        <f t="shared" si="177"/>
        <v>0</v>
      </c>
      <c r="J742" s="95">
        <v>37834</v>
      </c>
      <c r="K742" s="96">
        <f t="shared" si="180"/>
        <v>165000</v>
      </c>
      <c r="L742" s="97" t="s">
        <v>25</v>
      </c>
      <c r="M742" s="98">
        <f t="shared" si="181"/>
        <v>4.05</v>
      </c>
      <c r="N742" s="99">
        <f t="shared" si="178"/>
        <v>668250</v>
      </c>
      <c r="O742" s="62">
        <f t="shared" si="179"/>
        <v>4537.5</v>
      </c>
      <c r="Q742" s="100" t="s">
        <v>298</v>
      </c>
      <c r="T742" s="100" t="s">
        <v>298</v>
      </c>
      <c r="AB742" s="41" t="s">
        <v>296</v>
      </c>
    </row>
    <row r="743" spans="1:28" outlineLevel="1" x14ac:dyDescent="0.2">
      <c r="A743" s="91">
        <v>100</v>
      </c>
      <c r="C743" s="92">
        <v>36861</v>
      </c>
      <c r="D743" s="41" t="s">
        <v>183</v>
      </c>
      <c r="E743" s="41" t="s">
        <v>14</v>
      </c>
      <c r="F743" s="41" t="s">
        <v>21</v>
      </c>
      <c r="G743" s="41" t="s">
        <v>198</v>
      </c>
      <c r="H743" s="93">
        <v>0</v>
      </c>
      <c r="I743" s="94">
        <f t="shared" si="177"/>
        <v>0</v>
      </c>
      <c r="J743" s="95">
        <v>37865</v>
      </c>
      <c r="K743" s="96">
        <f t="shared" si="180"/>
        <v>165000</v>
      </c>
      <c r="L743" s="97" t="s">
        <v>25</v>
      </c>
      <c r="M743" s="98">
        <f t="shared" si="181"/>
        <v>4.05</v>
      </c>
      <c r="N743" s="99">
        <f t="shared" si="178"/>
        <v>668250</v>
      </c>
      <c r="O743" s="62">
        <f t="shared" si="179"/>
        <v>4537.5</v>
      </c>
      <c r="Q743" s="100" t="s">
        <v>298</v>
      </c>
      <c r="T743" s="100" t="s">
        <v>298</v>
      </c>
      <c r="AB743" s="41" t="s">
        <v>296</v>
      </c>
    </row>
    <row r="744" spans="1:28" outlineLevel="1" x14ac:dyDescent="0.2">
      <c r="A744" s="91">
        <v>100</v>
      </c>
      <c r="C744" s="92">
        <v>36861</v>
      </c>
      <c r="D744" s="41" t="s">
        <v>183</v>
      </c>
      <c r="E744" s="41" t="s">
        <v>14</v>
      </c>
      <c r="F744" s="41" t="s">
        <v>21</v>
      </c>
      <c r="G744" s="41" t="s">
        <v>198</v>
      </c>
      <c r="H744" s="93">
        <v>0</v>
      </c>
      <c r="I744" s="94">
        <f t="shared" si="177"/>
        <v>0</v>
      </c>
      <c r="J744" s="95">
        <v>37895</v>
      </c>
      <c r="K744" s="96">
        <f t="shared" si="180"/>
        <v>165000</v>
      </c>
      <c r="L744" s="97" t="s">
        <v>25</v>
      </c>
      <c r="M744" s="98">
        <f t="shared" si="181"/>
        <v>4.05</v>
      </c>
      <c r="N744" s="99">
        <f t="shared" si="178"/>
        <v>668250</v>
      </c>
      <c r="O744" s="62">
        <f t="shared" si="179"/>
        <v>4537.5</v>
      </c>
      <c r="Q744" s="100" t="s">
        <v>298</v>
      </c>
      <c r="T744" s="100" t="s">
        <v>298</v>
      </c>
      <c r="AB744" s="41" t="s">
        <v>296</v>
      </c>
    </row>
    <row r="745" spans="1:28" outlineLevel="1" x14ac:dyDescent="0.2">
      <c r="A745" s="91">
        <v>100</v>
      </c>
      <c r="C745" s="92">
        <v>36861</v>
      </c>
      <c r="D745" s="41" t="s">
        <v>183</v>
      </c>
      <c r="E745" s="41" t="s">
        <v>14</v>
      </c>
      <c r="F745" s="41" t="s">
        <v>21</v>
      </c>
      <c r="G745" s="41" t="s">
        <v>198</v>
      </c>
      <c r="H745" s="93">
        <v>0</v>
      </c>
      <c r="I745" s="94">
        <f t="shared" si="177"/>
        <v>0</v>
      </c>
      <c r="J745" s="95">
        <v>37926</v>
      </c>
      <c r="K745" s="96">
        <f t="shared" si="180"/>
        <v>165000</v>
      </c>
      <c r="L745" s="97" t="s">
        <v>25</v>
      </c>
      <c r="M745" s="98">
        <f t="shared" si="181"/>
        <v>4.05</v>
      </c>
      <c r="N745" s="99">
        <f t="shared" si="178"/>
        <v>668250</v>
      </c>
      <c r="O745" s="62">
        <f t="shared" si="179"/>
        <v>4537.5</v>
      </c>
      <c r="Q745" s="100" t="s">
        <v>298</v>
      </c>
      <c r="T745" s="100" t="s">
        <v>298</v>
      </c>
      <c r="AB745" s="41" t="s">
        <v>296</v>
      </c>
    </row>
    <row r="746" spans="1:28" outlineLevel="1" x14ac:dyDescent="0.2">
      <c r="A746" s="91">
        <v>100</v>
      </c>
      <c r="C746" s="92">
        <v>36861</v>
      </c>
      <c r="D746" s="41" t="s">
        <v>183</v>
      </c>
      <c r="E746" s="41" t="s">
        <v>14</v>
      </c>
      <c r="F746" s="41" t="s">
        <v>21</v>
      </c>
      <c r="G746" s="41" t="s">
        <v>198</v>
      </c>
      <c r="H746" s="93">
        <v>0</v>
      </c>
      <c r="I746" s="94">
        <f t="shared" si="177"/>
        <v>0</v>
      </c>
      <c r="J746" s="95">
        <v>37956</v>
      </c>
      <c r="K746" s="96">
        <f t="shared" si="180"/>
        <v>165000</v>
      </c>
      <c r="L746" s="97" t="s">
        <v>25</v>
      </c>
      <c r="M746" s="98">
        <f t="shared" si="181"/>
        <v>4.05</v>
      </c>
      <c r="N746" s="99">
        <f t="shared" si="178"/>
        <v>668250</v>
      </c>
      <c r="O746" s="62">
        <f t="shared" si="179"/>
        <v>4537.5</v>
      </c>
      <c r="Q746" s="100" t="s">
        <v>298</v>
      </c>
      <c r="T746" s="100" t="s">
        <v>298</v>
      </c>
      <c r="AB746" s="41" t="s">
        <v>296</v>
      </c>
    </row>
    <row r="747" spans="1:28" outlineLevel="1" x14ac:dyDescent="0.2">
      <c r="A747" s="91">
        <v>100</v>
      </c>
      <c r="C747" s="92">
        <v>36861</v>
      </c>
      <c r="D747" s="41" t="s">
        <v>183</v>
      </c>
      <c r="E747" s="41" t="s">
        <v>14</v>
      </c>
      <c r="F747" s="41" t="s">
        <v>21</v>
      </c>
      <c r="G747" s="41" t="s">
        <v>198</v>
      </c>
      <c r="H747" s="93">
        <v>0</v>
      </c>
      <c r="I747" s="94">
        <f t="shared" si="177"/>
        <v>0</v>
      </c>
      <c r="J747" s="95">
        <v>37987</v>
      </c>
      <c r="K747" s="96">
        <f t="shared" si="180"/>
        <v>165000</v>
      </c>
      <c r="L747" s="97" t="s">
        <v>25</v>
      </c>
      <c r="M747" s="98">
        <f t="shared" si="181"/>
        <v>4.05</v>
      </c>
      <c r="N747" s="99">
        <f t="shared" si="178"/>
        <v>668250</v>
      </c>
      <c r="O747" s="62">
        <f t="shared" si="179"/>
        <v>4537.5</v>
      </c>
      <c r="Q747" s="100" t="s">
        <v>298</v>
      </c>
      <c r="T747" s="100" t="s">
        <v>298</v>
      </c>
      <c r="AB747" s="41" t="s">
        <v>296</v>
      </c>
    </row>
    <row r="748" spans="1:28" outlineLevel="1" x14ac:dyDescent="0.2">
      <c r="A748" s="91">
        <v>100</v>
      </c>
      <c r="C748" s="92">
        <v>36861</v>
      </c>
      <c r="D748" s="41" t="s">
        <v>183</v>
      </c>
      <c r="E748" s="41" t="s">
        <v>14</v>
      </c>
      <c r="F748" s="41" t="s">
        <v>21</v>
      </c>
      <c r="G748" s="41" t="s">
        <v>198</v>
      </c>
      <c r="H748" s="93">
        <v>0</v>
      </c>
      <c r="I748" s="94">
        <f t="shared" si="177"/>
        <v>0</v>
      </c>
      <c r="J748" s="95">
        <v>38018</v>
      </c>
      <c r="K748" s="96">
        <f t="shared" si="180"/>
        <v>165000</v>
      </c>
      <c r="L748" s="97" t="s">
        <v>25</v>
      </c>
      <c r="M748" s="98">
        <f t="shared" si="181"/>
        <v>4.05</v>
      </c>
      <c r="N748" s="99">
        <f t="shared" si="178"/>
        <v>668250</v>
      </c>
      <c r="O748" s="62">
        <f t="shared" si="179"/>
        <v>4537.5</v>
      </c>
      <c r="Q748" s="100" t="s">
        <v>298</v>
      </c>
      <c r="T748" s="100" t="s">
        <v>298</v>
      </c>
      <c r="AB748" s="41" t="s">
        <v>296</v>
      </c>
    </row>
    <row r="749" spans="1:28" outlineLevel="1" x14ac:dyDescent="0.2">
      <c r="A749" s="91">
        <v>100</v>
      </c>
      <c r="C749" s="92">
        <v>36861</v>
      </c>
      <c r="D749" s="41" t="s">
        <v>183</v>
      </c>
      <c r="E749" s="41" t="s">
        <v>14</v>
      </c>
      <c r="F749" s="41" t="s">
        <v>21</v>
      </c>
      <c r="G749" s="41" t="s">
        <v>198</v>
      </c>
      <c r="H749" s="93">
        <v>0</v>
      </c>
      <c r="I749" s="94">
        <f t="shared" si="177"/>
        <v>0</v>
      </c>
      <c r="J749" s="95">
        <v>38047</v>
      </c>
      <c r="K749" s="96">
        <f t="shared" si="180"/>
        <v>165000</v>
      </c>
      <c r="L749" s="97" t="s">
        <v>25</v>
      </c>
      <c r="M749" s="98">
        <f t="shared" si="181"/>
        <v>4.05</v>
      </c>
      <c r="N749" s="99">
        <f t="shared" si="178"/>
        <v>668250</v>
      </c>
      <c r="O749" s="62">
        <f t="shared" si="179"/>
        <v>4537.5</v>
      </c>
      <c r="Q749" s="100" t="s">
        <v>298</v>
      </c>
      <c r="T749" s="100" t="s">
        <v>298</v>
      </c>
      <c r="AB749" s="41" t="s">
        <v>296</v>
      </c>
    </row>
    <row r="750" spans="1:28" outlineLevel="1" x14ac:dyDescent="0.2">
      <c r="A750" s="91">
        <v>100</v>
      </c>
      <c r="C750" s="92">
        <v>36861</v>
      </c>
      <c r="D750" s="41" t="s">
        <v>183</v>
      </c>
      <c r="E750" s="41" t="s">
        <v>14</v>
      </c>
      <c r="F750" s="41" t="s">
        <v>21</v>
      </c>
      <c r="G750" s="41" t="s">
        <v>198</v>
      </c>
      <c r="H750" s="93">
        <v>0</v>
      </c>
      <c r="I750" s="94">
        <f t="shared" si="177"/>
        <v>0</v>
      </c>
      <c r="J750" s="95">
        <v>38078</v>
      </c>
      <c r="K750" s="96">
        <f t="shared" si="180"/>
        <v>165000</v>
      </c>
      <c r="L750" s="97" t="s">
        <v>25</v>
      </c>
      <c r="M750" s="98">
        <f t="shared" si="181"/>
        <v>4.05</v>
      </c>
      <c r="N750" s="99">
        <f t="shared" si="178"/>
        <v>668250</v>
      </c>
      <c r="O750" s="62">
        <f t="shared" si="179"/>
        <v>4537.5</v>
      </c>
      <c r="Q750" s="100" t="s">
        <v>298</v>
      </c>
      <c r="T750" s="100" t="s">
        <v>298</v>
      </c>
      <c r="AB750" s="41" t="s">
        <v>296</v>
      </c>
    </row>
    <row r="751" spans="1:28" outlineLevel="1" x14ac:dyDescent="0.2">
      <c r="A751" s="91">
        <v>100</v>
      </c>
      <c r="C751" s="92">
        <v>36861</v>
      </c>
      <c r="D751" s="41" t="s">
        <v>183</v>
      </c>
      <c r="E751" s="41" t="s">
        <v>14</v>
      </c>
      <c r="F751" s="41" t="s">
        <v>21</v>
      </c>
      <c r="G751" s="41" t="s">
        <v>198</v>
      </c>
      <c r="H751" s="93">
        <v>0</v>
      </c>
      <c r="I751" s="94">
        <f t="shared" si="177"/>
        <v>0</v>
      </c>
      <c r="J751" s="95">
        <v>38108</v>
      </c>
      <c r="K751" s="96">
        <f t="shared" si="180"/>
        <v>165000</v>
      </c>
      <c r="L751" s="97" t="s">
        <v>25</v>
      </c>
      <c r="M751" s="98">
        <f t="shared" si="181"/>
        <v>4.05</v>
      </c>
      <c r="N751" s="99">
        <f t="shared" si="178"/>
        <v>668250</v>
      </c>
      <c r="O751" s="62">
        <f t="shared" si="179"/>
        <v>4537.5</v>
      </c>
      <c r="Q751" s="100" t="s">
        <v>298</v>
      </c>
      <c r="T751" s="100" t="s">
        <v>298</v>
      </c>
      <c r="AB751" s="41" t="s">
        <v>296</v>
      </c>
    </row>
    <row r="752" spans="1:28" outlineLevel="1" x14ac:dyDescent="0.2">
      <c r="A752" s="91">
        <v>100</v>
      </c>
      <c r="C752" s="92">
        <v>36861</v>
      </c>
      <c r="D752" s="41" t="s">
        <v>183</v>
      </c>
      <c r="E752" s="41" t="s">
        <v>14</v>
      </c>
      <c r="F752" s="41" t="s">
        <v>21</v>
      </c>
      <c r="G752" s="41" t="s">
        <v>198</v>
      </c>
      <c r="H752" s="93">
        <v>0</v>
      </c>
      <c r="I752" s="94">
        <f t="shared" si="177"/>
        <v>0</v>
      </c>
      <c r="J752" s="95">
        <v>38139</v>
      </c>
      <c r="K752" s="96">
        <f t="shared" si="180"/>
        <v>165000</v>
      </c>
      <c r="L752" s="97" t="s">
        <v>25</v>
      </c>
      <c r="M752" s="98">
        <f t="shared" si="181"/>
        <v>4.05</v>
      </c>
      <c r="N752" s="99">
        <f t="shared" si="178"/>
        <v>668250</v>
      </c>
      <c r="O752" s="62">
        <f t="shared" si="179"/>
        <v>4537.5</v>
      </c>
      <c r="Q752" s="100" t="s">
        <v>298</v>
      </c>
      <c r="T752" s="100" t="s">
        <v>298</v>
      </c>
      <c r="AB752" s="41" t="s">
        <v>296</v>
      </c>
    </row>
    <row r="753" spans="1:28" outlineLevel="1" x14ac:dyDescent="0.2">
      <c r="A753" s="91">
        <v>100</v>
      </c>
      <c r="C753" s="92">
        <v>36861</v>
      </c>
      <c r="D753" s="41" t="s">
        <v>183</v>
      </c>
      <c r="E753" s="41" t="s">
        <v>14</v>
      </c>
      <c r="F753" s="41" t="s">
        <v>21</v>
      </c>
      <c r="G753" s="41" t="s">
        <v>198</v>
      </c>
      <c r="H753" s="93">
        <v>0</v>
      </c>
      <c r="I753" s="94">
        <f t="shared" si="177"/>
        <v>0</v>
      </c>
      <c r="J753" s="95">
        <v>38169</v>
      </c>
      <c r="K753" s="96">
        <f t="shared" si="180"/>
        <v>165000</v>
      </c>
      <c r="L753" s="97" t="s">
        <v>25</v>
      </c>
      <c r="M753" s="98">
        <f t="shared" si="181"/>
        <v>4.05</v>
      </c>
      <c r="N753" s="99">
        <f t="shared" si="178"/>
        <v>668250</v>
      </c>
      <c r="O753" s="62">
        <f t="shared" si="179"/>
        <v>4537.5</v>
      </c>
      <c r="Q753" s="100" t="s">
        <v>298</v>
      </c>
      <c r="T753" s="100" t="s">
        <v>298</v>
      </c>
      <c r="AB753" s="41" t="s">
        <v>296</v>
      </c>
    </row>
    <row r="754" spans="1:28" outlineLevel="1" x14ac:dyDescent="0.2">
      <c r="A754" s="91">
        <v>100</v>
      </c>
      <c r="C754" s="92">
        <v>36861</v>
      </c>
      <c r="D754" s="41" t="s">
        <v>183</v>
      </c>
      <c r="E754" s="41" t="s">
        <v>14</v>
      </c>
      <c r="F754" s="41" t="s">
        <v>21</v>
      </c>
      <c r="G754" s="41" t="s">
        <v>198</v>
      </c>
      <c r="H754" s="93">
        <v>0</v>
      </c>
      <c r="I754" s="94">
        <f t="shared" si="177"/>
        <v>0</v>
      </c>
      <c r="J754" s="95">
        <v>38200</v>
      </c>
      <c r="K754" s="96">
        <f t="shared" si="180"/>
        <v>165000</v>
      </c>
      <c r="L754" s="97" t="s">
        <v>25</v>
      </c>
      <c r="M754" s="98">
        <f t="shared" si="181"/>
        <v>4.05</v>
      </c>
      <c r="N754" s="99">
        <f t="shared" si="178"/>
        <v>668250</v>
      </c>
      <c r="O754" s="62">
        <f t="shared" si="179"/>
        <v>4537.5</v>
      </c>
      <c r="Q754" s="100" t="s">
        <v>298</v>
      </c>
      <c r="T754" s="100" t="s">
        <v>298</v>
      </c>
      <c r="AB754" s="41" t="s">
        <v>296</v>
      </c>
    </row>
    <row r="755" spans="1:28" outlineLevel="1" x14ac:dyDescent="0.2">
      <c r="A755" s="91">
        <v>100</v>
      </c>
      <c r="C755" s="92">
        <v>36861</v>
      </c>
      <c r="D755" s="41" t="s">
        <v>183</v>
      </c>
      <c r="E755" s="41" t="s">
        <v>14</v>
      </c>
      <c r="F755" s="41" t="s">
        <v>21</v>
      </c>
      <c r="G755" s="41" t="s">
        <v>198</v>
      </c>
      <c r="H755" s="93">
        <v>0</v>
      </c>
      <c r="I755" s="94">
        <f t="shared" si="177"/>
        <v>0</v>
      </c>
      <c r="J755" s="95">
        <v>38231</v>
      </c>
      <c r="K755" s="96">
        <f t="shared" si="180"/>
        <v>165000</v>
      </c>
      <c r="L755" s="97" t="s">
        <v>25</v>
      </c>
      <c r="M755" s="98">
        <f t="shared" si="181"/>
        <v>4.05</v>
      </c>
      <c r="N755" s="99">
        <f t="shared" si="178"/>
        <v>668250</v>
      </c>
      <c r="O755" s="62">
        <f t="shared" si="179"/>
        <v>4537.5</v>
      </c>
      <c r="Q755" s="100" t="s">
        <v>298</v>
      </c>
      <c r="T755" s="100" t="s">
        <v>298</v>
      </c>
      <c r="AB755" s="41" t="s">
        <v>296</v>
      </c>
    </row>
    <row r="756" spans="1:28" outlineLevel="1" x14ac:dyDescent="0.2">
      <c r="A756" s="91">
        <v>100</v>
      </c>
      <c r="C756" s="92">
        <v>36861</v>
      </c>
      <c r="D756" s="41" t="s">
        <v>183</v>
      </c>
      <c r="E756" s="41" t="s">
        <v>14</v>
      </c>
      <c r="F756" s="41" t="s">
        <v>21</v>
      </c>
      <c r="G756" s="41" t="s">
        <v>198</v>
      </c>
      <c r="H756" s="93">
        <v>0</v>
      </c>
      <c r="I756" s="94">
        <f t="shared" si="177"/>
        <v>0</v>
      </c>
      <c r="J756" s="95">
        <v>38261</v>
      </c>
      <c r="K756" s="96">
        <f t="shared" si="180"/>
        <v>165000</v>
      </c>
      <c r="L756" s="97" t="s">
        <v>25</v>
      </c>
      <c r="M756" s="98">
        <f t="shared" si="181"/>
        <v>4.05</v>
      </c>
      <c r="N756" s="99">
        <f t="shared" si="178"/>
        <v>668250</v>
      </c>
      <c r="O756" s="62">
        <f t="shared" si="179"/>
        <v>4537.5</v>
      </c>
      <c r="Q756" s="100" t="s">
        <v>298</v>
      </c>
      <c r="T756" s="100" t="s">
        <v>298</v>
      </c>
      <c r="AB756" s="41" t="s">
        <v>296</v>
      </c>
    </row>
    <row r="757" spans="1:28" outlineLevel="1" x14ac:dyDescent="0.2">
      <c r="A757" s="91">
        <v>100</v>
      </c>
      <c r="C757" s="92">
        <v>36861</v>
      </c>
      <c r="D757" s="41" t="s">
        <v>183</v>
      </c>
      <c r="E757" s="41" t="s">
        <v>14</v>
      </c>
      <c r="F757" s="41" t="s">
        <v>21</v>
      </c>
      <c r="G757" s="41" t="s">
        <v>198</v>
      </c>
      <c r="H757" s="93">
        <v>0</v>
      </c>
      <c r="I757" s="94">
        <f t="shared" si="177"/>
        <v>0</v>
      </c>
      <c r="J757" s="95">
        <v>38292</v>
      </c>
      <c r="K757" s="96">
        <f t="shared" si="180"/>
        <v>165000</v>
      </c>
      <c r="L757" s="97" t="s">
        <v>25</v>
      </c>
      <c r="M757" s="98">
        <f t="shared" si="181"/>
        <v>4.05</v>
      </c>
      <c r="N757" s="99">
        <f t="shared" si="178"/>
        <v>668250</v>
      </c>
      <c r="O757" s="62">
        <f t="shared" si="179"/>
        <v>4537.5</v>
      </c>
      <c r="Q757" s="100" t="s">
        <v>298</v>
      </c>
      <c r="T757" s="100" t="s">
        <v>298</v>
      </c>
      <c r="AB757" s="41" t="s">
        <v>296</v>
      </c>
    </row>
    <row r="758" spans="1:28" outlineLevel="1" x14ac:dyDescent="0.2">
      <c r="A758" s="91">
        <v>100</v>
      </c>
      <c r="C758" s="92">
        <v>36861</v>
      </c>
      <c r="D758" s="41" t="s">
        <v>183</v>
      </c>
      <c r="E758" s="41" t="s">
        <v>14</v>
      </c>
      <c r="F758" s="41" t="s">
        <v>21</v>
      </c>
      <c r="G758" s="41" t="s">
        <v>198</v>
      </c>
      <c r="H758" s="93">
        <v>0</v>
      </c>
      <c r="I758" s="94">
        <f t="shared" si="177"/>
        <v>0</v>
      </c>
      <c r="J758" s="95">
        <v>38322</v>
      </c>
      <c r="K758" s="96">
        <f t="shared" si="180"/>
        <v>165000</v>
      </c>
      <c r="L758" s="97" t="s">
        <v>25</v>
      </c>
      <c r="M758" s="98">
        <f t="shared" si="181"/>
        <v>4.05</v>
      </c>
      <c r="N758" s="99">
        <f t="shared" si="178"/>
        <v>668250</v>
      </c>
      <c r="O758" s="62">
        <f t="shared" si="179"/>
        <v>4537.5</v>
      </c>
      <c r="Q758" s="100" t="s">
        <v>298</v>
      </c>
      <c r="T758" s="100" t="s">
        <v>298</v>
      </c>
      <c r="AB758" s="41" t="s">
        <v>296</v>
      </c>
    </row>
    <row r="759" spans="1:28" outlineLevel="1" x14ac:dyDescent="0.2">
      <c r="A759" s="91">
        <v>100</v>
      </c>
      <c r="C759" s="92">
        <v>36861</v>
      </c>
      <c r="D759" s="41" t="s">
        <v>183</v>
      </c>
      <c r="E759" s="41" t="s">
        <v>14</v>
      </c>
      <c r="F759" s="41" t="s">
        <v>21</v>
      </c>
      <c r="G759" s="41" t="s">
        <v>198</v>
      </c>
      <c r="H759" s="93">
        <v>0</v>
      </c>
      <c r="I759" s="94">
        <f t="shared" si="177"/>
        <v>0</v>
      </c>
      <c r="J759" s="95">
        <v>38353</v>
      </c>
      <c r="K759" s="96">
        <f t="shared" si="180"/>
        <v>165000</v>
      </c>
      <c r="L759" s="97" t="s">
        <v>25</v>
      </c>
      <c r="M759" s="98">
        <f t="shared" si="181"/>
        <v>4.05</v>
      </c>
      <c r="N759" s="99">
        <f t="shared" si="178"/>
        <v>668250</v>
      </c>
      <c r="O759" s="62">
        <f t="shared" si="179"/>
        <v>4537.5</v>
      </c>
      <c r="Q759" s="100" t="s">
        <v>298</v>
      </c>
      <c r="T759" s="100" t="s">
        <v>298</v>
      </c>
      <c r="AB759" s="41" t="s">
        <v>296</v>
      </c>
    </row>
    <row r="760" spans="1:28" outlineLevel="1" x14ac:dyDescent="0.2">
      <c r="A760" s="91">
        <v>100</v>
      </c>
      <c r="C760" s="92">
        <v>36861</v>
      </c>
      <c r="D760" s="41" t="s">
        <v>183</v>
      </c>
      <c r="E760" s="41" t="s">
        <v>14</v>
      </c>
      <c r="F760" s="41" t="s">
        <v>21</v>
      </c>
      <c r="G760" s="41" t="s">
        <v>198</v>
      </c>
      <c r="H760" s="93">
        <v>0</v>
      </c>
      <c r="I760" s="94">
        <f t="shared" si="177"/>
        <v>0</v>
      </c>
      <c r="J760" s="95">
        <v>38384</v>
      </c>
      <c r="K760" s="96">
        <f t="shared" si="180"/>
        <v>165000</v>
      </c>
      <c r="L760" s="97" t="s">
        <v>25</v>
      </c>
      <c r="M760" s="98">
        <f t="shared" si="181"/>
        <v>4.05</v>
      </c>
      <c r="N760" s="99">
        <f t="shared" si="178"/>
        <v>668250</v>
      </c>
      <c r="O760" s="62">
        <f t="shared" si="179"/>
        <v>4537.5</v>
      </c>
      <c r="Q760" s="100" t="s">
        <v>298</v>
      </c>
      <c r="T760" s="100" t="s">
        <v>298</v>
      </c>
      <c r="AB760" s="41" t="s">
        <v>296</v>
      </c>
    </row>
    <row r="761" spans="1:28" outlineLevel="1" x14ac:dyDescent="0.2">
      <c r="A761" s="91">
        <v>100</v>
      </c>
      <c r="C761" s="92">
        <v>36861</v>
      </c>
      <c r="D761" s="41" t="s">
        <v>183</v>
      </c>
      <c r="E761" s="41" t="s">
        <v>14</v>
      </c>
      <c r="F761" s="41" t="s">
        <v>21</v>
      </c>
      <c r="G761" s="41" t="s">
        <v>198</v>
      </c>
      <c r="H761" s="93">
        <v>0</v>
      </c>
      <c r="I761" s="94">
        <f t="shared" si="177"/>
        <v>0</v>
      </c>
      <c r="J761" s="95">
        <v>38412</v>
      </c>
      <c r="K761" s="96">
        <f t="shared" si="180"/>
        <v>165000</v>
      </c>
      <c r="L761" s="97" t="s">
        <v>25</v>
      </c>
      <c r="M761" s="98">
        <f t="shared" si="181"/>
        <v>4.05</v>
      </c>
      <c r="N761" s="99">
        <f t="shared" si="178"/>
        <v>668250</v>
      </c>
      <c r="O761" s="62">
        <f t="shared" si="179"/>
        <v>4537.5</v>
      </c>
      <c r="Q761" s="100" t="s">
        <v>298</v>
      </c>
      <c r="T761" s="100" t="s">
        <v>298</v>
      </c>
      <c r="AB761" s="41" t="s">
        <v>296</v>
      </c>
    </row>
    <row r="762" spans="1:28" outlineLevel="1" x14ac:dyDescent="0.2">
      <c r="A762" s="91">
        <v>100</v>
      </c>
      <c r="C762" s="92">
        <v>36861</v>
      </c>
      <c r="D762" s="41" t="s">
        <v>183</v>
      </c>
      <c r="E762" s="41" t="s">
        <v>14</v>
      </c>
      <c r="F762" s="41" t="s">
        <v>21</v>
      </c>
      <c r="G762" s="41" t="s">
        <v>198</v>
      </c>
      <c r="H762" s="93">
        <v>0</v>
      </c>
      <c r="I762" s="94">
        <f t="shared" si="177"/>
        <v>0</v>
      </c>
      <c r="J762" s="95">
        <v>38443</v>
      </c>
      <c r="K762" s="96">
        <f t="shared" si="180"/>
        <v>165000</v>
      </c>
      <c r="L762" s="97" t="s">
        <v>25</v>
      </c>
      <c r="M762" s="98">
        <f t="shared" si="181"/>
        <v>4.05</v>
      </c>
      <c r="N762" s="99">
        <f t="shared" si="178"/>
        <v>668250</v>
      </c>
      <c r="O762" s="62">
        <f t="shared" si="179"/>
        <v>4537.5</v>
      </c>
      <c r="Q762" s="100" t="s">
        <v>298</v>
      </c>
      <c r="T762" s="100" t="s">
        <v>298</v>
      </c>
      <c r="AB762" s="41" t="s">
        <v>296</v>
      </c>
    </row>
    <row r="763" spans="1:28" outlineLevel="1" x14ac:dyDescent="0.2">
      <c r="A763" s="91">
        <v>100</v>
      </c>
      <c r="C763" s="92">
        <v>36861</v>
      </c>
      <c r="D763" s="41" t="s">
        <v>183</v>
      </c>
      <c r="E763" s="41" t="s">
        <v>14</v>
      </c>
      <c r="F763" s="41" t="s">
        <v>21</v>
      </c>
      <c r="G763" s="41" t="s">
        <v>198</v>
      </c>
      <c r="H763" s="93">
        <v>0</v>
      </c>
      <c r="I763" s="94">
        <f t="shared" si="177"/>
        <v>0</v>
      </c>
      <c r="J763" s="95">
        <v>38473</v>
      </c>
      <c r="K763" s="96">
        <f t="shared" si="180"/>
        <v>165000</v>
      </c>
      <c r="L763" s="97" t="s">
        <v>25</v>
      </c>
      <c r="M763" s="98">
        <f t="shared" si="181"/>
        <v>4.05</v>
      </c>
      <c r="N763" s="99">
        <f t="shared" si="178"/>
        <v>668250</v>
      </c>
      <c r="O763" s="62">
        <f t="shared" si="179"/>
        <v>4537.5</v>
      </c>
      <c r="Q763" s="100" t="s">
        <v>298</v>
      </c>
      <c r="T763" s="100" t="s">
        <v>298</v>
      </c>
      <c r="AB763" s="41" t="s">
        <v>296</v>
      </c>
    </row>
    <row r="764" spans="1:28" outlineLevel="1" x14ac:dyDescent="0.2">
      <c r="A764" s="91">
        <v>100</v>
      </c>
      <c r="C764" s="92">
        <v>36861</v>
      </c>
      <c r="D764" s="41" t="s">
        <v>183</v>
      </c>
      <c r="E764" s="41" t="s">
        <v>14</v>
      </c>
      <c r="F764" s="41" t="s">
        <v>21</v>
      </c>
      <c r="G764" s="41" t="s">
        <v>198</v>
      </c>
      <c r="H764" s="93">
        <v>0</v>
      </c>
      <c r="I764" s="94">
        <f t="shared" si="177"/>
        <v>0</v>
      </c>
      <c r="J764" s="95">
        <v>38504</v>
      </c>
      <c r="K764" s="96">
        <f t="shared" si="180"/>
        <v>165000</v>
      </c>
      <c r="L764" s="97" t="s">
        <v>25</v>
      </c>
      <c r="M764" s="98">
        <f t="shared" si="181"/>
        <v>4.05</v>
      </c>
      <c r="N764" s="99">
        <f t="shared" si="178"/>
        <v>668250</v>
      </c>
      <c r="O764" s="62">
        <f t="shared" si="179"/>
        <v>4537.5</v>
      </c>
      <c r="Q764" s="100" t="s">
        <v>298</v>
      </c>
      <c r="T764" s="100" t="s">
        <v>298</v>
      </c>
      <c r="AB764" s="41" t="s">
        <v>296</v>
      </c>
    </row>
    <row r="765" spans="1:28" outlineLevel="1" x14ac:dyDescent="0.2">
      <c r="A765" s="91">
        <v>100</v>
      </c>
      <c r="C765" s="92">
        <v>36861</v>
      </c>
      <c r="D765" s="41" t="s">
        <v>183</v>
      </c>
      <c r="E765" s="41" t="s">
        <v>14</v>
      </c>
      <c r="F765" s="41" t="s">
        <v>21</v>
      </c>
      <c r="G765" s="41" t="s">
        <v>198</v>
      </c>
      <c r="H765" s="93">
        <v>0</v>
      </c>
      <c r="I765" s="94">
        <f t="shared" si="177"/>
        <v>0</v>
      </c>
      <c r="J765" s="95">
        <v>38534</v>
      </c>
      <c r="K765" s="96">
        <f t="shared" si="180"/>
        <v>165000</v>
      </c>
      <c r="L765" s="97" t="s">
        <v>25</v>
      </c>
      <c r="M765" s="98">
        <f t="shared" si="181"/>
        <v>4.05</v>
      </c>
      <c r="N765" s="99">
        <f t="shared" si="178"/>
        <v>668250</v>
      </c>
      <c r="O765" s="62">
        <f t="shared" si="179"/>
        <v>4537.5</v>
      </c>
      <c r="Q765" s="100" t="s">
        <v>298</v>
      </c>
      <c r="T765" s="100" t="s">
        <v>298</v>
      </c>
      <c r="AB765" s="41" t="s">
        <v>296</v>
      </c>
    </row>
    <row r="766" spans="1:28" x14ac:dyDescent="0.2">
      <c r="A766" s="91">
        <v>100</v>
      </c>
      <c r="C766" s="92">
        <v>36861</v>
      </c>
      <c r="D766" s="41" t="s">
        <v>183</v>
      </c>
      <c r="E766" s="41" t="s">
        <v>14</v>
      </c>
      <c r="F766" s="41" t="s">
        <v>21</v>
      </c>
      <c r="G766" s="41" t="s">
        <v>198</v>
      </c>
      <c r="H766" s="93">
        <v>0</v>
      </c>
      <c r="I766" s="94">
        <f t="shared" si="177"/>
        <v>0</v>
      </c>
      <c r="J766" s="95">
        <v>38565</v>
      </c>
      <c r="K766" s="96">
        <f t="shared" si="180"/>
        <v>165000</v>
      </c>
      <c r="L766" s="97" t="s">
        <v>25</v>
      </c>
      <c r="M766" s="98">
        <f t="shared" si="181"/>
        <v>4.05</v>
      </c>
      <c r="N766" s="99">
        <f t="shared" si="178"/>
        <v>668250</v>
      </c>
      <c r="O766" s="62">
        <f t="shared" si="179"/>
        <v>4537.5</v>
      </c>
      <c r="Q766" s="100" t="s">
        <v>298</v>
      </c>
      <c r="T766" s="100" t="s">
        <v>298</v>
      </c>
      <c r="AB766" s="41" t="s">
        <v>296</v>
      </c>
    </row>
    <row r="767" spans="1:28" x14ac:dyDescent="0.2">
      <c r="A767" s="91">
        <v>100</v>
      </c>
      <c r="C767" s="92">
        <v>36861</v>
      </c>
      <c r="D767" s="41" t="s">
        <v>183</v>
      </c>
      <c r="E767" s="41" t="s">
        <v>14</v>
      </c>
      <c r="F767" s="41" t="s">
        <v>21</v>
      </c>
      <c r="G767" s="41" t="s">
        <v>198</v>
      </c>
      <c r="H767" s="93">
        <v>0</v>
      </c>
      <c r="I767" s="94">
        <f t="shared" si="177"/>
        <v>0</v>
      </c>
      <c r="J767" s="95">
        <v>38596</v>
      </c>
      <c r="K767" s="96">
        <f t="shared" si="180"/>
        <v>165000</v>
      </c>
      <c r="L767" s="97" t="s">
        <v>25</v>
      </c>
      <c r="M767" s="98">
        <f t="shared" si="181"/>
        <v>4.05</v>
      </c>
      <c r="N767" s="99">
        <f t="shared" si="178"/>
        <v>668250</v>
      </c>
      <c r="O767" s="62">
        <f t="shared" si="179"/>
        <v>4537.5</v>
      </c>
      <c r="Q767" s="100" t="s">
        <v>298</v>
      </c>
      <c r="T767" s="100" t="s">
        <v>298</v>
      </c>
      <c r="AB767" s="41" t="s">
        <v>296</v>
      </c>
    </row>
    <row r="769" spans="1:28" x14ac:dyDescent="0.2">
      <c r="A769" s="91">
        <v>101</v>
      </c>
      <c r="C769" s="92">
        <v>36881</v>
      </c>
      <c r="D769" s="41" t="s">
        <v>54</v>
      </c>
      <c r="E769" s="41" t="s">
        <v>14</v>
      </c>
      <c r="F769" s="41" t="s">
        <v>15</v>
      </c>
      <c r="G769" s="41" t="s">
        <v>16</v>
      </c>
      <c r="H769" s="93">
        <v>0</v>
      </c>
      <c r="I769" s="94">
        <f>+H769*K769</f>
        <v>0</v>
      </c>
      <c r="J769" s="95">
        <v>36892</v>
      </c>
      <c r="K769" s="96">
        <v>57200</v>
      </c>
      <c r="L769" s="97" t="s">
        <v>25</v>
      </c>
      <c r="M769" s="98">
        <v>9.42</v>
      </c>
      <c r="N769" s="99">
        <f>K769*M769</f>
        <v>538824</v>
      </c>
      <c r="O769" s="62">
        <f>0.02*K769</f>
        <v>1144</v>
      </c>
      <c r="Q769" s="100">
        <v>9.5649999999999995</v>
      </c>
      <c r="T769" s="62">
        <f>-(M769-Q769)*K769</f>
        <v>8293.9999999999764</v>
      </c>
      <c r="U769" s="62"/>
      <c r="AA769" s="91" t="s">
        <v>202</v>
      </c>
      <c r="AB769" s="41" t="s">
        <v>296</v>
      </c>
    </row>
    <row r="770" spans="1:28" x14ac:dyDescent="0.2">
      <c r="A770" s="91">
        <v>101</v>
      </c>
      <c r="C770" s="92">
        <v>36881</v>
      </c>
      <c r="D770" s="41" t="s">
        <v>54</v>
      </c>
      <c r="E770" s="41" t="s">
        <v>14</v>
      </c>
      <c r="F770" s="41" t="s">
        <v>15</v>
      </c>
      <c r="G770" s="41" t="s">
        <v>16</v>
      </c>
      <c r="H770" s="93">
        <v>0</v>
      </c>
      <c r="I770" s="94">
        <f>+H770*K770</f>
        <v>0</v>
      </c>
      <c r="J770" s="95">
        <v>36923</v>
      </c>
      <c r="K770" s="96">
        <v>28800</v>
      </c>
      <c r="L770" s="97" t="s">
        <v>25</v>
      </c>
      <c r="M770" s="98">
        <v>8.93</v>
      </c>
      <c r="N770" s="99">
        <f>K770*M770</f>
        <v>257184</v>
      </c>
      <c r="O770" s="62">
        <f>0.02*K770</f>
        <v>576</v>
      </c>
      <c r="Q770" s="100">
        <v>9.5649999999999995</v>
      </c>
      <c r="T770" s="62">
        <f>-(M770-Q770)*K770</f>
        <v>18287.999999999993</v>
      </c>
      <c r="U770" s="62"/>
      <c r="AA770" s="91" t="s">
        <v>202</v>
      </c>
      <c r="AB770" s="41" t="s">
        <v>296</v>
      </c>
    </row>
    <row r="771" spans="1:28" x14ac:dyDescent="0.2">
      <c r="J771" s="95"/>
      <c r="M771" s="98"/>
      <c r="U771" s="62"/>
    </row>
    <row r="772" spans="1:28" x14ac:dyDescent="0.2">
      <c r="A772" s="91">
        <v>102</v>
      </c>
      <c r="C772" s="92">
        <v>36881</v>
      </c>
      <c r="D772" s="41" t="s">
        <v>122</v>
      </c>
      <c r="E772" s="41" t="s">
        <v>14</v>
      </c>
      <c r="F772" s="41" t="s">
        <v>15</v>
      </c>
      <c r="G772" s="41" t="s">
        <v>16</v>
      </c>
      <c r="H772" s="93">
        <v>0</v>
      </c>
      <c r="I772" s="94">
        <f>+H772*K772</f>
        <v>0</v>
      </c>
      <c r="J772" s="95">
        <v>36892</v>
      </c>
      <c r="K772" s="96">
        <v>99900</v>
      </c>
      <c r="L772" s="97" t="s">
        <v>25</v>
      </c>
      <c r="M772" s="98">
        <v>9.42</v>
      </c>
      <c r="N772" s="99">
        <f>K772*M772</f>
        <v>941058</v>
      </c>
      <c r="O772" s="62">
        <f>0.02*K772</f>
        <v>1998</v>
      </c>
      <c r="Q772" s="100">
        <v>9.5649999999999995</v>
      </c>
      <c r="T772" s="62">
        <f>-(M772-Q772)*K772</f>
        <v>14485.499999999958</v>
      </c>
      <c r="U772" s="62"/>
      <c r="Z772" s="41">
        <v>0.98373810961445585</v>
      </c>
      <c r="AA772" s="91" t="s">
        <v>202</v>
      </c>
      <c r="AB772" s="41" t="s">
        <v>296</v>
      </c>
    </row>
    <row r="773" spans="1:28" x14ac:dyDescent="0.2">
      <c r="A773" s="91">
        <v>102</v>
      </c>
      <c r="C773" s="92">
        <v>36881</v>
      </c>
      <c r="D773" s="41" t="s">
        <v>122</v>
      </c>
      <c r="E773" s="41" t="s">
        <v>14</v>
      </c>
      <c r="F773" s="41" t="s">
        <v>15</v>
      </c>
      <c r="G773" s="41" t="s">
        <v>16</v>
      </c>
      <c r="H773" s="93">
        <v>0</v>
      </c>
      <c r="I773" s="94">
        <f>+H773*K773</f>
        <v>0</v>
      </c>
      <c r="J773" s="95">
        <v>36923</v>
      </c>
      <c r="K773" s="96">
        <v>64000</v>
      </c>
      <c r="L773" s="97" t="s">
        <v>25</v>
      </c>
      <c r="M773" s="98">
        <v>8.93</v>
      </c>
      <c r="N773" s="99">
        <f>K773*M773</f>
        <v>571520</v>
      </c>
      <c r="O773" s="62">
        <f>0.02*K773</f>
        <v>1280</v>
      </c>
      <c r="Q773" s="100">
        <v>9.5649999999999995</v>
      </c>
      <c r="T773" s="62">
        <f>-(M773-Q773)*K773</f>
        <v>40639.999999999985</v>
      </c>
      <c r="U773" s="62"/>
      <c r="Z773" s="41">
        <v>0.98373810961445585</v>
      </c>
      <c r="AA773" s="91" t="s">
        <v>202</v>
      </c>
      <c r="AB773" s="41" t="s">
        <v>296</v>
      </c>
    </row>
    <row r="774" spans="1:28" x14ac:dyDescent="0.2">
      <c r="A774" s="91">
        <v>102</v>
      </c>
      <c r="C774" s="92">
        <v>36881</v>
      </c>
      <c r="D774" s="41" t="s">
        <v>122</v>
      </c>
      <c r="E774" s="41" t="s">
        <v>14</v>
      </c>
      <c r="F774" s="41" t="s">
        <v>15</v>
      </c>
      <c r="G774" s="41" t="s">
        <v>16</v>
      </c>
      <c r="H774" s="93">
        <v>0</v>
      </c>
      <c r="I774" s="94">
        <f>+H774*K774</f>
        <v>0</v>
      </c>
      <c r="J774" s="95">
        <v>36951</v>
      </c>
      <c r="K774" s="96">
        <v>8600</v>
      </c>
      <c r="L774" s="97" t="s">
        <v>25</v>
      </c>
      <c r="M774" s="98">
        <v>7.8</v>
      </c>
      <c r="N774" s="99">
        <f>K774*M774</f>
        <v>67080</v>
      </c>
      <c r="O774" s="62">
        <f>0.02*K774</f>
        <v>172</v>
      </c>
      <c r="Q774" s="100">
        <v>9.5649999999999995</v>
      </c>
      <c r="T774" s="62">
        <f>-(M774-Q774)*K774</f>
        <v>15178.999999999996</v>
      </c>
      <c r="U774" s="62"/>
      <c r="Z774" s="41">
        <v>0.98373810961445585</v>
      </c>
      <c r="AA774" s="91" t="s">
        <v>202</v>
      </c>
      <c r="AB774" s="41" t="s">
        <v>296</v>
      </c>
    </row>
    <row r="776" spans="1:28" x14ac:dyDescent="0.2">
      <c r="A776" s="91">
        <v>103</v>
      </c>
      <c r="B776" s="91" t="s">
        <v>313</v>
      </c>
      <c r="C776" s="92">
        <v>36871</v>
      </c>
      <c r="D776" s="41" t="s">
        <v>42</v>
      </c>
      <c r="E776" s="41" t="s">
        <v>14</v>
      </c>
      <c r="F776" s="41" t="s">
        <v>15</v>
      </c>
      <c r="G776" s="41" t="s">
        <v>197</v>
      </c>
      <c r="H776" s="93">
        <v>2.2999999999999998</v>
      </c>
      <c r="I776" s="94">
        <f>+H776*K776</f>
        <v>69000</v>
      </c>
      <c r="J776" s="95">
        <v>36892</v>
      </c>
      <c r="K776" s="96">
        <v>30000</v>
      </c>
      <c r="L776" s="97" t="s">
        <v>25</v>
      </c>
      <c r="M776" s="93">
        <v>7</v>
      </c>
      <c r="O776" s="62">
        <f>0.04*K776</f>
        <v>1200</v>
      </c>
      <c r="Q776" s="100">
        <v>9.5649999999999995</v>
      </c>
      <c r="T776" s="62">
        <f>-(7-Q776)*K776</f>
        <v>76949.999999999985</v>
      </c>
      <c r="AB776" s="41" t="s">
        <v>297</v>
      </c>
    </row>
    <row r="777" spans="1:28" x14ac:dyDescent="0.2">
      <c r="A777" s="91">
        <v>103</v>
      </c>
      <c r="B777" s="91" t="s">
        <v>313</v>
      </c>
      <c r="C777" s="92">
        <v>36871</v>
      </c>
      <c r="D777" s="41" t="s">
        <v>42</v>
      </c>
      <c r="E777" s="41" t="s">
        <v>14</v>
      </c>
      <c r="F777" s="41" t="s">
        <v>15</v>
      </c>
      <c r="G777" s="41" t="s">
        <v>197</v>
      </c>
      <c r="H777" s="93">
        <v>2.2999999999999998</v>
      </c>
      <c r="I777" s="94">
        <f>+H777*K777</f>
        <v>69000</v>
      </c>
      <c r="J777" s="95">
        <v>36923</v>
      </c>
      <c r="K777" s="96">
        <v>30000</v>
      </c>
      <c r="L777" s="97" t="s">
        <v>25</v>
      </c>
      <c r="M777" s="93">
        <v>7</v>
      </c>
      <c r="O777" s="62">
        <f>0.04*K777</f>
        <v>1200</v>
      </c>
      <c r="AB777" s="41" t="s">
        <v>297</v>
      </c>
    </row>
    <row r="779" spans="1:28" x14ac:dyDescent="0.2">
      <c r="A779" s="91">
        <v>104</v>
      </c>
      <c r="B779" s="91" t="s">
        <v>314</v>
      </c>
      <c r="C779" s="92">
        <v>36886</v>
      </c>
      <c r="D779" s="41" t="s">
        <v>216</v>
      </c>
      <c r="E779" s="41" t="s">
        <v>14</v>
      </c>
      <c r="F779" s="41" t="s">
        <v>21</v>
      </c>
      <c r="G779" s="41" t="s">
        <v>198</v>
      </c>
      <c r="H779" s="93">
        <v>0</v>
      </c>
      <c r="I779" s="94">
        <f>+H779*K779</f>
        <v>0</v>
      </c>
      <c r="J779" s="95">
        <v>36892</v>
      </c>
      <c r="K779" s="96">
        <v>150000</v>
      </c>
      <c r="L779" s="97" t="s">
        <v>25</v>
      </c>
      <c r="M779" s="98">
        <v>9.57</v>
      </c>
      <c r="N779" s="99">
        <f>K779*M779</f>
        <v>1435500</v>
      </c>
      <c r="O779" s="62">
        <f>0.025*K779</f>
        <v>3750</v>
      </c>
      <c r="Q779" s="100">
        <v>9.84</v>
      </c>
      <c r="T779" s="62">
        <f>-(M779-Q779)*K779</f>
        <v>40499.999999999935</v>
      </c>
      <c r="AB779" s="41" t="s">
        <v>297</v>
      </c>
    </row>
    <row r="781" spans="1:28" x14ac:dyDescent="0.2">
      <c r="A781" s="91">
        <v>105</v>
      </c>
      <c r="B781" s="91" t="s">
        <v>314</v>
      </c>
      <c r="C781" s="92">
        <v>36886</v>
      </c>
      <c r="D781" s="41" t="s">
        <v>222</v>
      </c>
      <c r="E781" s="41" t="s">
        <v>14</v>
      </c>
      <c r="F781" s="41" t="s">
        <v>21</v>
      </c>
      <c r="G781" s="41" t="s">
        <v>198</v>
      </c>
      <c r="H781" s="93">
        <v>0</v>
      </c>
      <c r="I781" s="94">
        <f>+H781*K781</f>
        <v>0</v>
      </c>
      <c r="J781" s="95">
        <v>36892</v>
      </c>
      <c r="K781" s="96">
        <v>60000</v>
      </c>
      <c r="L781" s="97" t="s">
        <v>25</v>
      </c>
      <c r="M781" s="98">
        <v>9.57</v>
      </c>
      <c r="N781" s="99">
        <f>K781*M781</f>
        <v>574200</v>
      </c>
      <c r="O781" s="62">
        <f>0.025*K781</f>
        <v>1500</v>
      </c>
      <c r="Q781" s="100">
        <v>9.84</v>
      </c>
      <c r="T781" s="62">
        <f>-(M781-Q781)*K781</f>
        <v>16199.999999999975</v>
      </c>
      <c r="AB781" s="41" t="s">
        <v>296</v>
      </c>
    </row>
    <row r="783" spans="1:28" x14ac:dyDescent="0.2">
      <c r="A783" s="91">
        <v>106</v>
      </c>
      <c r="B783" s="91" t="s">
        <v>315</v>
      </c>
      <c r="C783" s="92">
        <v>36886</v>
      </c>
      <c r="D783" s="41" t="s">
        <v>221</v>
      </c>
      <c r="E783" s="41" t="s">
        <v>14</v>
      </c>
      <c r="F783" s="41" t="s">
        <v>21</v>
      </c>
      <c r="G783" s="41" t="s">
        <v>198</v>
      </c>
      <c r="H783" s="93">
        <v>0</v>
      </c>
      <c r="I783" s="94">
        <f>+H783*K783</f>
        <v>0</v>
      </c>
      <c r="J783" s="95">
        <v>36892</v>
      </c>
      <c r="K783" s="96">
        <v>60000</v>
      </c>
      <c r="L783" s="97" t="s">
        <v>25</v>
      </c>
      <c r="M783" s="98">
        <v>9.57</v>
      </c>
      <c r="N783" s="99">
        <f>K783*M783</f>
        <v>574200</v>
      </c>
      <c r="O783" s="62">
        <f>0.025*K783</f>
        <v>1500</v>
      </c>
      <c r="Q783" s="100">
        <v>9.84</v>
      </c>
      <c r="T783" s="62">
        <f>-(M783-Q783)*K783</f>
        <v>16199.999999999975</v>
      </c>
      <c r="AB783" s="41" t="s">
        <v>296</v>
      </c>
    </row>
    <row r="785" spans="1:28" x14ac:dyDescent="0.2">
      <c r="A785" s="91">
        <v>107</v>
      </c>
      <c r="B785" s="91" t="s">
        <v>316</v>
      </c>
      <c r="C785" s="92">
        <v>36886</v>
      </c>
      <c r="D785" s="41" t="s">
        <v>216</v>
      </c>
      <c r="E785" s="41" t="s">
        <v>14</v>
      </c>
      <c r="F785" s="41" t="s">
        <v>21</v>
      </c>
      <c r="G785" s="41" t="s">
        <v>317</v>
      </c>
      <c r="H785" s="93">
        <v>4.07</v>
      </c>
      <c r="I785" s="94">
        <f>+H785*K785</f>
        <v>814000</v>
      </c>
      <c r="J785" s="95">
        <v>36892</v>
      </c>
      <c r="K785" s="96">
        <v>200000</v>
      </c>
      <c r="L785" s="97" t="s">
        <v>25</v>
      </c>
      <c r="M785" s="93" t="s">
        <v>219</v>
      </c>
      <c r="O785" s="62">
        <f>0.03*K785</f>
        <v>6000</v>
      </c>
      <c r="Q785" s="100">
        <v>9.84</v>
      </c>
      <c r="T785" s="62">
        <f>-(5.5-Q785)*K785</f>
        <v>868000</v>
      </c>
      <c r="AB785" s="41" t="s">
        <v>297</v>
      </c>
    </row>
    <row r="787" spans="1:28" x14ac:dyDescent="0.2">
      <c r="A787" s="91">
        <v>108</v>
      </c>
      <c r="B787" s="91" t="s">
        <v>318</v>
      </c>
      <c r="C787" s="92">
        <v>36886</v>
      </c>
      <c r="D787" s="41" t="s">
        <v>222</v>
      </c>
      <c r="E787" s="41" t="s">
        <v>14</v>
      </c>
      <c r="F787" s="41" t="s">
        <v>21</v>
      </c>
      <c r="G787" s="41" t="s">
        <v>317</v>
      </c>
      <c r="H787" s="93">
        <v>4.07</v>
      </c>
      <c r="I787" s="94">
        <f>+H787*K787</f>
        <v>122100.00000000001</v>
      </c>
      <c r="J787" s="95">
        <v>36892</v>
      </c>
      <c r="K787" s="96">
        <v>30000</v>
      </c>
      <c r="L787" s="97" t="s">
        <v>25</v>
      </c>
      <c r="M787" s="93" t="s">
        <v>219</v>
      </c>
      <c r="O787" s="62">
        <f>0.03*K787</f>
        <v>900</v>
      </c>
      <c r="Q787" s="100">
        <v>9.84</v>
      </c>
      <c r="T787" s="62">
        <f>-(5.5-Q787)*K787</f>
        <v>130200</v>
      </c>
      <c r="AB787" s="41" t="s">
        <v>296</v>
      </c>
    </row>
    <row r="789" spans="1:28" x14ac:dyDescent="0.2">
      <c r="A789" s="91">
        <v>109</v>
      </c>
      <c r="B789" s="91" t="s">
        <v>319</v>
      </c>
      <c r="C789" s="92">
        <v>36886</v>
      </c>
      <c r="D789" s="41" t="s">
        <v>221</v>
      </c>
      <c r="E789" s="41" t="s">
        <v>14</v>
      </c>
      <c r="F789" s="41" t="s">
        <v>21</v>
      </c>
      <c r="G789" s="41" t="s">
        <v>317</v>
      </c>
      <c r="H789" s="93">
        <v>4.07</v>
      </c>
      <c r="I789" s="94">
        <f>+H789*K789</f>
        <v>2564100</v>
      </c>
      <c r="J789" s="95">
        <v>36892</v>
      </c>
      <c r="K789" s="96">
        <v>630000</v>
      </c>
      <c r="L789" s="97" t="s">
        <v>25</v>
      </c>
      <c r="M789" s="93" t="s">
        <v>219</v>
      </c>
      <c r="O789" s="62">
        <f>0.03*K789</f>
        <v>18900</v>
      </c>
      <c r="Q789" s="100">
        <v>9.84</v>
      </c>
      <c r="T789" s="62">
        <f>-(5.5-Q789)*K789</f>
        <v>2734200</v>
      </c>
      <c r="AB789" s="41" t="s">
        <v>296</v>
      </c>
    </row>
    <row r="791" spans="1:28" x14ac:dyDescent="0.2">
      <c r="A791" s="91">
        <v>110</v>
      </c>
      <c r="B791" s="91" t="s">
        <v>320</v>
      </c>
      <c r="C791" s="92">
        <v>36886</v>
      </c>
      <c r="D791" s="41" t="s">
        <v>217</v>
      </c>
      <c r="E791" s="41" t="s">
        <v>14</v>
      </c>
      <c r="F791" s="41" t="s">
        <v>21</v>
      </c>
      <c r="G791" s="41" t="s">
        <v>317</v>
      </c>
      <c r="H791" s="93">
        <v>4.07</v>
      </c>
      <c r="I791" s="94">
        <f>+H791*K791</f>
        <v>2035000.0000000002</v>
      </c>
      <c r="J791" s="95">
        <v>36892</v>
      </c>
      <c r="K791" s="96">
        <v>500000</v>
      </c>
      <c r="L791" s="97" t="s">
        <v>25</v>
      </c>
      <c r="M791" s="93" t="s">
        <v>220</v>
      </c>
      <c r="O791" s="62">
        <f>0.02*K791</f>
        <v>10000</v>
      </c>
      <c r="Q791" s="100">
        <v>9.84</v>
      </c>
      <c r="T791" s="62">
        <f>-(5.5-Q791)*K791</f>
        <v>2170000</v>
      </c>
      <c r="AB791" s="41" t="s">
        <v>296</v>
      </c>
    </row>
    <row r="793" spans="1:28" x14ac:dyDescent="0.2">
      <c r="A793" s="91">
        <v>111</v>
      </c>
      <c r="B793" s="91" t="s">
        <v>321</v>
      </c>
      <c r="C793" s="92">
        <v>36886</v>
      </c>
      <c r="D793" s="41" t="s">
        <v>217</v>
      </c>
      <c r="E793" s="41" t="s">
        <v>14</v>
      </c>
      <c r="F793" s="41" t="s">
        <v>21</v>
      </c>
      <c r="G793" s="41" t="s">
        <v>317</v>
      </c>
      <c r="H793" s="93">
        <v>4.07</v>
      </c>
      <c r="I793" s="94">
        <f>+H793*K793</f>
        <v>1221000</v>
      </c>
      <c r="J793" s="95">
        <v>36892</v>
      </c>
      <c r="K793" s="96">
        <v>300000</v>
      </c>
      <c r="L793" s="97" t="s">
        <v>25</v>
      </c>
      <c r="M793" s="93" t="s">
        <v>220</v>
      </c>
      <c r="O793" s="62">
        <f>0.02*K793</f>
        <v>6000</v>
      </c>
      <c r="Q793" s="100">
        <v>9.84</v>
      </c>
      <c r="T793" s="62">
        <f>-(5.5-Q793)*K793</f>
        <v>1302000</v>
      </c>
      <c r="AB793" s="41" t="s">
        <v>296</v>
      </c>
    </row>
    <row r="795" spans="1:28" x14ac:dyDescent="0.2">
      <c r="A795" s="91">
        <v>112</v>
      </c>
      <c r="B795" s="91" t="s">
        <v>322</v>
      </c>
      <c r="C795" s="92">
        <v>36886</v>
      </c>
      <c r="D795" s="41" t="s">
        <v>217</v>
      </c>
      <c r="E795" s="41" t="s">
        <v>14</v>
      </c>
      <c r="F795" s="41" t="s">
        <v>21</v>
      </c>
      <c r="G795" s="41" t="s">
        <v>198</v>
      </c>
      <c r="H795" s="93">
        <v>0</v>
      </c>
      <c r="I795" s="94">
        <f>+H795*K795</f>
        <v>0</v>
      </c>
      <c r="J795" s="95">
        <v>36892</v>
      </c>
      <c r="K795" s="96">
        <v>60000</v>
      </c>
      <c r="L795" s="97" t="s">
        <v>25</v>
      </c>
      <c r="M795" s="98">
        <v>9.57</v>
      </c>
      <c r="N795" s="99">
        <f>K795*M795</f>
        <v>574200</v>
      </c>
      <c r="O795" s="62">
        <f>0.015*K795</f>
        <v>900</v>
      </c>
      <c r="Q795" s="100">
        <v>9.84</v>
      </c>
      <c r="T795" s="62">
        <f>-(M795-Q795)*K795</f>
        <v>16199.999999999975</v>
      </c>
      <c r="AB795" s="41" t="s">
        <v>296</v>
      </c>
    </row>
  </sheetData>
  <autoFilter ref="A1:AB721"/>
  <phoneticPr fontId="0" type="noConversion"/>
  <pageMargins left="0.25" right="0.25" top="0.5" bottom="0.5" header="0.5" footer="0.5"/>
  <pageSetup scale="55" fitToHeight="1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zoomScaleNormal="100" workbookViewId="0">
      <pane ySplit="1" topLeftCell="A33" activePane="bottomLeft" state="frozenSplit"/>
      <selection pane="bottomLeft" activeCell="J55" sqref="J55"/>
    </sheetView>
  </sheetViews>
  <sheetFormatPr defaultColWidth="11.7109375" defaultRowHeight="12.75" x14ac:dyDescent="0.2"/>
  <cols>
    <col min="1" max="1" width="10.42578125" style="1" customWidth="1"/>
    <col min="2" max="2" width="14.28515625" bestFit="1" customWidth="1"/>
    <col min="3" max="3" width="13.85546875" bestFit="1" customWidth="1"/>
    <col min="4" max="4" width="11.42578125" bestFit="1" customWidth="1"/>
    <col min="5" max="5" width="15.5703125" bestFit="1" customWidth="1"/>
    <col min="6" max="6" width="9.28515625" style="10" customWidth="1"/>
    <col min="7" max="7" width="11.7109375" style="12" customWidth="1"/>
    <col min="8" max="8" width="8" style="8" customWidth="1"/>
    <col min="9" max="9" width="11.85546875" style="13" bestFit="1" customWidth="1"/>
    <col min="10" max="10" width="14.85546875" style="6" customWidth="1"/>
  </cols>
  <sheetData>
    <row r="1" spans="1:10" s="22" customFormat="1" ht="32.25" thickBo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4" t="s">
        <v>7</v>
      </c>
      <c r="I1" s="25" t="s">
        <v>28</v>
      </c>
      <c r="J1" s="26" t="s">
        <v>8</v>
      </c>
    </row>
    <row r="2" spans="1:10" s="3" customFormat="1" ht="15.75" x14ac:dyDescent="0.25">
      <c r="A2" s="2"/>
      <c r="G2" s="11"/>
      <c r="H2" s="7"/>
      <c r="I2" s="4"/>
      <c r="J2" s="5"/>
    </row>
    <row r="3" spans="1:10" x14ac:dyDescent="0.2">
      <c r="A3" s="1">
        <v>36305</v>
      </c>
      <c r="B3" t="s">
        <v>13</v>
      </c>
      <c r="C3" t="s">
        <v>14</v>
      </c>
      <c r="D3" t="s">
        <v>15</v>
      </c>
      <c r="E3" t="s">
        <v>16</v>
      </c>
      <c r="F3" s="9">
        <v>36312</v>
      </c>
      <c r="G3" s="12">
        <v>110000</v>
      </c>
      <c r="H3" s="8" t="s">
        <v>25</v>
      </c>
      <c r="I3" s="13">
        <v>2.2450000000000001</v>
      </c>
      <c r="J3" s="6">
        <f>0.025*G3</f>
        <v>2750</v>
      </c>
    </row>
    <row r="5" spans="1:10" x14ac:dyDescent="0.2">
      <c r="A5" s="1">
        <v>36305</v>
      </c>
      <c r="B5" t="s">
        <v>13</v>
      </c>
      <c r="C5" t="s">
        <v>14</v>
      </c>
      <c r="D5" t="s">
        <v>15</v>
      </c>
      <c r="E5" t="s">
        <v>16</v>
      </c>
      <c r="F5" s="9">
        <v>36312</v>
      </c>
      <c r="G5" s="12">
        <v>75000</v>
      </c>
      <c r="H5" s="8" t="s">
        <v>25</v>
      </c>
      <c r="I5" s="13">
        <v>2.2450000000000001</v>
      </c>
      <c r="J5" s="6">
        <f>0.025*G5</f>
        <v>1875</v>
      </c>
    </row>
    <row r="7" spans="1:10" x14ac:dyDescent="0.2">
      <c r="A7" s="1">
        <v>36349</v>
      </c>
      <c r="B7" t="s">
        <v>13</v>
      </c>
      <c r="C7" t="s">
        <v>14</v>
      </c>
      <c r="D7" t="s">
        <v>15</v>
      </c>
      <c r="E7" t="s">
        <v>16</v>
      </c>
      <c r="F7" s="9">
        <v>36373</v>
      </c>
      <c r="G7" s="12">
        <v>200955</v>
      </c>
      <c r="H7" s="8" t="s">
        <v>25</v>
      </c>
      <c r="I7" s="13">
        <v>2.165</v>
      </c>
      <c r="J7" s="6">
        <f>0.02*G7</f>
        <v>4019.1</v>
      </c>
    </row>
    <row r="8" spans="1:10" x14ac:dyDescent="0.2">
      <c r="F8" s="9">
        <v>36404</v>
      </c>
      <c r="G8" s="12">
        <v>200955</v>
      </c>
      <c r="H8" s="8" t="s">
        <v>25</v>
      </c>
      <c r="I8" s="13">
        <v>2.1924999999999999</v>
      </c>
      <c r="J8" s="6">
        <f>0.0125*G8</f>
        <v>2511.9375</v>
      </c>
    </row>
    <row r="10" spans="1:10" x14ac:dyDescent="0.2">
      <c r="A10" s="1">
        <v>36357</v>
      </c>
      <c r="B10" t="s">
        <v>9</v>
      </c>
      <c r="C10" t="s">
        <v>10</v>
      </c>
      <c r="D10" t="s">
        <v>11</v>
      </c>
      <c r="E10" t="s">
        <v>12</v>
      </c>
      <c r="F10" s="9">
        <v>36495</v>
      </c>
      <c r="G10" s="12">
        <v>100000</v>
      </c>
      <c r="H10" s="8" t="s">
        <v>26</v>
      </c>
      <c r="I10" s="13">
        <v>4.4499999999999998E-2</v>
      </c>
      <c r="J10" s="6">
        <f>(0.0455-0.0445)*42*G10</f>
        <v>4200.0000000000036</v>
      </c>
    </row>
    <row r="12" spans="1:10" x14ac:dyDescent="0.2">
      <c r="A12" s="1">
        <v>36468</v>
      </c>
      <c r="B12" t="s">
        <v>20</v>
      </c>
      <c r="C12" t="s">
        <v>14</v>
      </c>
      <c r="D12" t="s">
        <v>21</v>
      </c>
      <c r="E12" t="s">
        <v>22</v>
      </c>
      <c r="F12" s="9">
        <v>36495</v>
      </c>
      <c r="G12" s="12">
        <v>110000</v>
      </c>
      <c r="H12" s="8" t="s">
        <v>25</v>
      </c>
      <c r="I12" s="13" t="s">
        <v>30</v>
      </c>
      <c r="J12" s="6">
        <v>830</v>
      </c>
    </row>
    <row r="14" spans="1:10" x14ac:dyDescent="0.2">
      <c r="A14" s="1">
        <v>36472</v>
      </c>
      <c r="B14" t="s">
        <v>20</v>
      </c>
      <c r="C14" t="s">
        <v>14</v>
      </c>
      <c r="D14" t="s">
        <v>21</v>
      </c>
      <c r="E14" t="s">
        <v>22</v>
      </c>
      <c r="F14" s="9">
        <v>36526</v>
      </c>
      <c r="G14" s="12">
        <v>70000</v>
      </c>
      <c r="H14" s="8" t="s">
        <v>25</v>
      </c>
      <c r="I14" s="13" t="s">
        <v>29</v>
      </c>
      <c r="J14" s="6">
        <v>175</v>
      </c>
    </row>
    <row r="16" spans="1:10" x14ac:dyDescent="0.2">
      <c r="A16" s="1">
        <v>36475</v>
      </c>
      <c r="B16" t="s">
        <v>23</v>
      </c>
      <c r="C16" t="s">
        <v>14</v>
      </c>
      <c r="D16" t="s">
        <v>21</v>
      </c>
      <c r="E16" t="s">
        <v>16</v>
      </c>
      <c r="F16" s="9">
        <v>36495</v>
      </c>
      <c r="G16" s="12">
        <v>250000</v>
      </c>
      <c r="H16" s="8" t="s">
        <v>25</v>
      </c>
      <c r="I16" s="13">
        <v>2.56</v>
      </c>
      <c r="J16" s="6">
        <v>0</v>
      </c>
    </row>
    <row r="17" spans="1:14" x14ac:dyDescent="0.2">
      <c r="F17" s="9">
        <v>36586</v>
      </c>
      <c r="G17" s="12">
        <v>250000</v>
      </c>
      <c r="H17" s="8" t="s">
        <v>25</v>
      </c>
      <c r="I17" s="13">
        <v>2.5249999999999999</v>
      </c>
      <c r="J17" s="6">
        <v>0</v>
      </c>
    </row>
    <row r="19" spans="1:14" x14ac:dyDescent="0.2">
      <c r="A19" s="1">
        <v>36475</v>
      </c>
      <c r="B19" t="s">
        <v>23</v>
      </c>
      <c r="C19" t="s">
        <v>14</v>
      </c>
      <c r="D19" t="s">
        <v>21</v>
      </c>
      <c r="E19" t="s">
        <v>16</v>
      </c>
      <c r="F19" s="9">
        <v>36495</v>
      </c>
      <c r="G19" s="12">
        <v>120000</v>
      </c>
      <c r="H19" s="8" t="s">
        <v>25</v>
      </c>
      <c r="I19" s="13">
        <v>2.5325000000000002</v>
      </c>
      <c r="J19" s="6">
        <v>0</v>
      </c>
    </row>
    <row r="20" spans="1:14" x14ac:dyDescent="0.2">
      <c r="F20" s="9">
        <v>36557</v>
      </c>
      <c r="G20" s="12">
        <v>120000</v>
      </c>
      <c r="H20" s="8" t="s">
        <v>25</v>
      </c>
      <c r="I20" s="13">
        <v>2.59</v>
      </c>
      <c r="J20" s="6">
        <v>0</v>
      </c>
    </row>
    <row r="21" spans="1:14" x14ac:dyDescent="0.2">
      <c r="F21" s="9">
        <v>36586</v>
      </c>
      <c r="G21" s="12">
        <v>120000</v>
      </c>
      <c r="H21" s="8" t="s">
        <v>25</v>
      </c>
      <c r="I21" s="13">
        <v>2.5274999999999999</v>
      </c>
      <c r="J21" s="6">
        <f>-0.005*G21</f>
        <v>-600</v>
      </c>
    </row>
    <row r="22" spans="1:14" x14ac:dyDescent="0.2">
      <c r="F22" s="9">
        <v>36617</v>
      </c>
      <c r="G22" s="12">
        <v>150000</v>
      </c>
      <c r="H22" s="8" t="s">
        <v>25</v>
      </c>
      <c r="I22" s="13">
        <v>2.5150000000000001</v>
      </c>
      <c r="J22" s="6">
        <f>0.0025*G22</f>
        <v>375</v>
      </c>
    </row>
    <row r="23" spans="1:14" x14ac:dyDescent="0.2">
      <c r="F23" s="9">
        <v>36647</v>
      </c>
      <c r="G23" s="12">
        <v>150000</v>
      </c>
      <c r="H23" s="8" t="s">
        <v>25</v>
      </c>
      <c r="I23" s="13">
        <v>2.5150000000000001</v>
      </c>
      <c r="J23" s="6">
        <f t="shared" ref="J23:J28" si="0">0.0025*G23</f>
        <v>375</v>
      </c>
    </row>
    <row r="24" spans="1:14" x14ac:dyDescent="0.2">
      <c r="F24" s="9">
        <v>36678</v>
      </c>
      <c r="G24" s="12">
        <v>150000</v>
      </c>
      <c r="H24" s="8" t="s">
        <v>25</v>
      </c>
      <c r="I24" s="13">
        <v>2.5150000000000001</v>
      </c>
      <c r="J24" s="6">
        <f t="shared" si="0"/>
        <v>375</v>
      </c>
    </row>
    <row r="25" spans="1:14" x14ac:dyDescent="0.2">
      <c r="F25" s="9">
        <v>36708</v>
      </c>
      <c r="G25" s="12">
        <v>150000</v>
      </c>
      <c r="H25" s="8" t="s">
        <v>25</v>
      </c>
      <c r="I25" s="13">
        <v>2.5150000000000001</v>
      </c>
      <c r="J25" s="6">
        <f t="shared" si="0"/>
        <v>375</v>
      </c>
    </row>
    <row r="26" spans="1:14" x14ac:dyDescent="0.2">
      <c r="F26" s="9">
        <v>36739</v>
      </c>
      <c r="G26" s="12">
        <v>150000</v>
      </c>
      <c r="H26" s="8" t="s">
        <v>25</v>
      </c>
      <c r="I26" s="13">
        <v>2.5150000000000001</v>
      </c>
      <c r="J26" s="6">
        <f t="shared" si="0"/>
        <v>375</v>
      </c>
    </row>
    <row r="27" spans="1:14" x14ac:dyDescent="0.2">
      <c r="F27" s="9">
        <v>36770</v>
      </c>
      <c r="G27" s="12">
        <v>150000</v>
      </c>
      <c r="H27" s="8" t="s">
        <v>25</v>
      </c>
      <c r="I27" s="13">
        <v>2.5150000000000001</v>
      </c>
      <c r="J27" s="6">
        <f t="shared" si="0"/>
        <v>375</v>
      </c>
      <c r="M27" s="29"/>
    </row>
    <row r="28" spans="1:14" x14ac:dyDescent="0.2">
      <c r="F28" s="9">
        <v>36800</v>
      </c>
      <c r="G28" s="12">
        <v>150000</v>
      </c>
      <c r="H28" s="8" t="s">
        <v>25</v>
      </c>
      <c r="I28" s="13">
        <v>2.5150000000000001</v>
      </c>
      <c r="J28" s="6">
        <f t="shared" si="0"/>
        <v>375</v>
      </c>
      <c r="L28">
        <v>5.3</v>
      </c>
      <c r="M28" s="29">
        <f>+L28-I28</f>
        <v>2.7849999999999997</v>
      </c>
      <c r="N28" s="45">
        <f>+M28*G28</f>
        <v>417749.99999999994</v>
      </c>
    </row>
    <row r="30" spans="1:14" x14ac:dyDescent="0.2">
      <c r="A30" s="1">
        <v>36479</v>
      </c>
      <c r="B30" t="s">
        <v>17</v>
      </c>
      <c r="C30" t="s">
        <v>14</v>
      </c>
      <c r="D30" t="s">
        <v>15</v>
      </c>
      <c r="E30" t="s">
        <v>24</v>
      </c>
      <c r="F30" s="9">
        <v>36495</v>
      </c>
      <c r="G30" s="12">
        <v>3170000</v>
      </c>
      <c r="H30" s="8" t="s">
        <v>25</v>
      </c>
      <c r="I30" s="13">
        <v>4.4999999999999998E-2</v>
      </c>
      <c r="J30" s="6">
        <v>0</v>
      </c>
    </row>
    <row r="32" spans="1:14" x14ac:dyDescent="0.2">
      <c r="A32" s="1">
        <v>36481</v>
      </c>
      <c r="B32" t="s">
        <v>13</v>
      </c>
      <c r="C32" t="s">
        <v>14</v>
      </c>
      <c r="D32" t="s">
        <v>15</v>
      </c>
      <c r="E32" t="s">
        <v>16</v>
      </c>
      <c r="F32" s="9">
        <v>36526</v>
      </c>
      <c r="G32" s="12">
        <v>628701</v>
      </c>
      <c r="H32" s="8" t="s">
        <v>25</v>
      </c>
      <c r="I32" s="13">
        <v>2.48</v>
      </c>
      <c r="J32" s="6">
        <v>1572</v>
      </c>
    </row>
    <row r="33" spans="1:10" x14ac:dyDescent="0.2">
      <c r="F33" s="9">
        <v>36557</v>
      </c>
      <c r="G33" s="12">
        <v>628701</v>
      </c>
      <c r="H33" s="8" t="s">
        <v>25</v>
      </c>
      <c r="I33" s="13">
        <v>2.4700000000000002</v>
      </c>
      <c r="J33" s="6">
        <v>7859</v>
      </c>
    </row>
    <row r="35" spans="1:10" x14ac:dyDescent="0.2">
      <c r="A35" s="1">
        <v>36483</v>
      </c>
      <c r="B35" t="s">
        <v>13</v>
      </c>
      <c r="C35" t="s">
        <v>14</v>
      </c>
      <c r="D35" t="s">
        <v>15</v>
      </c>
      <c r="E35" t="s">
        <v>16</v>
      </c>
      <c r="F35" s="9">
        <v>36526</v>
      </c>
      <c r="G35" s="12">
        <v>441555</v>
      </c>
      <c r="H35" s="8" t="s">
        <v>25</v>
      </c>
      <c r="I35" s="13">
        <v>2.48</v>
      </c>
      <c r="J35" s="6">
        <v>4416</v>
      </c>
    </row>
    <row r="36" spans="1:10" x14ac:dyDescent="0.2">
      <c r="F36" s="9">
        <v>36557</v>
      </c>
      <c r="G36" s="12">
        <v>441555</v>
      </c>
      <c r="H36" s="8" t="s">
        <v>25</v>
      </c>
      <c r="I36" s="13">
        <v>2.4700000000000002</v>
      </c>
      <c r="J36" s="6">
        <v>4416</v>
      </c>
    </row>
    <row r="38" spans="1:10" x14ac:dyDescent="0.2">
      <c r="A38" s="1">
        <v>36483</v>
      </c>
      <c r="B38" t="s">
        <v>13</v>
      </c>
      <c r="C38" t="s">
        <v>14</v>
      </c>
      <c r="D38" t="s">
        <v>15</v>
      </c>
      <c r="E38" t="s">
        <v>16</v>
      </c>
      <c r="F38" s="9">
        <v>36526</v>
      </c>
      <c r="G38" s="12">
        <v>73979</v>
      </c>
      <c r="H38" s="8" t="s">
        <v>25</v>
      </c>
      <c r="I38" s="13">
        <v>2.48</v>
      </c>
      <c r="J38" s="6">
        <v>1480</v>
      </c>
    </row>
    <row r="39" spans="1:10" x14ac:dyDescent="0.2">
      <c r="F39" s="9">
        <v>36557</v>
      </c>
      <c r="G39" s="12">
        <v>73979</v>
      </c>
      <c r="H39" s="8" t="s">
        <v>25</v>
      </c>
      <c r="I39" s="13">
        <v>2.4700000000000002</v>
      </c>
      <c r="J39" s="6">
        <v>740</v>
      </c>
    </row>
    <row r="41" spans="1:10" x14ac:dyDescent="0.2">
      <c r="A41" s="1">
        <v>36483</v>
      </c>
      <c r="B41" t="s">
        <v>13</v>
      </c>
      <c r="C41" t="s">
        <v>14</v>
      </c>
      <c r="D41" t="s">
        <v>19</v>
      </c>
      <c r="E41" t="s">
        <v>16</v>
      </c>
      <c r="F41" s="9">
        <v>36526</v>
      </c>
      <c r="G41" s="12">
        <v>44000</v>
      </c>
      <c r="H41" s="8" t="s">
        <v>25</v>
      </c>
      <c r="I41" s="13">
        <v>2.585</v>
      </c>
      <c r="J41" s="6">
        <v>440</v>
      </c>
    </row>
    <row r="42" spans="1:10" x14ac:dyDescent="0.2">
      <c r="F42" s="9">
        <v>36557</v>
      </c>
      <c r="G42" s="12">
        <v>44000</v>
      </c>
      <c r="H42" s="8" t="s">
        <v>25</v>
      </c>
      <c r="I42" s="13">
        <v>2.56</v>
      </c>
      <c r="J42" s="6">
        <v>440</v>
      </c>
    </row>
    <row r="44" spans="1:10" x14ac:dyDescent="0.2">
      <c r="A44" s="1">
        <v>36487</v>
      </c>
      <c r="B44" t="s">
        <v>9</v>
      </c>
      <c r="C44" t="s">
        <v>10</v>
      </c>
      <c r="D44" t="s">
        <v>11</v>
      </c>
      <c r="E44" t="s">
        <v>12</v>
      </c>
      <c r="F44" s="9">
        <v>36495</v>
      </c>
      <c r="G44" s="12">
        <v>100000</v>
      </c>
      <c r="H44" s="8" t="s">
        <v>26</v>
      </c>
      <c r="I44" s="13">
        <v>0.155</v>
      </c>
      <c r="J44" s="6">
        <v>0</v>
      </c>
    </row>
    <row r="46" spans="1:10" x14ac:dyDescent="0.2">
      <c r="A46" s="1">
        <v>36487</v>
      </c>
      <c r="B46" t="s">
        <v>13</v>
      </c>
      <c r="C46" t="s">
        <v>14</v>
      </c>
      <c r="D46" t="s">
        <v>15</v>
      </c>
      <c r="E46" t="s">
        <v>16</v>
      </c>
      <c r="F46" s="9">
        <v>36495</v>
      </c>
      <c r="G46" s="12">
        <v>179667</v>
      </c>
      <c r="H46" s="8" t="s">
        <v>25</v>
      </c>
      <c r="I46" s="13">
        <v>2.1671999999999998</v>
      </c>
      <c r="J46" s="6">
        <v>2695</v>
      </c>
    </row>
    <row r="48" spans="1:10" x14ac:dyDescent="0.2">
      <c r="A48" s="1">
        <v>36488</v>
      </c>
      <c r="B48" t="s">
        <v>13</v>
      </c>
      <c r="C48" t="s">
        <v>14</v>
      </c>
      <c r="D48" t="s">
        <v>15</v>
      </c>
      <c r="E48" t="s">
        <v>16</v>
      </c>
      <c r="F48" s="9">
        <v>36526</v>
      </c>
      <c r="G48" s="12">
        <v>60000</v>
      </c>
      <c r="H48" s="8" t="s">
        <v>25</v>
      </c>
      <c r="I48" s="13">
        <v>2.2999999999999998</v>
      </c>
      <c r="J48" s="6">
        <v>600</v>
      </c>
    </row>
    <row r="49" spans="1:10" x14ac:dyDescent="0.2">
      <c r="F49" s="9">
        <v>36557</v>
      </c>
      <c r="G49" s="12">
        <v>60000</v>
      </c>
      <c r="H49" s="8" t="s">
        <v>25</v>
      </c>
      <c r="I49" s="13">
        <v>2.3149999999999999</v>
      </c>
      <c r="J49" s="6">
        <v>750</v>
      </c>
    </row>
    <row r="50" spans="1:10" x14ac:dyDescent="0.2">
      <c r="F50" s="9">
        <v>36586</v>
      </c>
      <c r="G50" s="12">
        <v>60000</v>
      </c>
      <c r="H50" s="8" t="s">
        <v>25</v>
      </c>
      <c r="I50" s="13">
        <v>2.2850000000000001</v>
      </c>
      <c r="J50" s="6">
        <v>900</v>
      </c>
    </row>
    <row r="52" spans="1:10" x14ac:dyDescent="0.2">
      <c r="A52" s="1">
        <v>36488</v>
      </c>
      <c r="B52" t="s">
        <v>17</v>
      </c>
      <c r="C52" t="s">
        <v>14</v>
      </c>
      <c r="D52" t="s">
        <v>15</v>
      </c>
      <c r="E52" t="s">
        <v>18</v>
      </c>
      <c r="F52" s="9">
        <v>36526</v>
      </c>
      <c r="G52" s="12">
        <v>3100000</v>
      </c>
      <c r="H52" s="8" t="s">
        <v>25</v>
      </c>
      <c r="I52" s="13" t="s">
        <v>27</v>
      </c>
      <c r="J52" s="6">
        <v>7750</v>
      </c>
    </row>
    <row r="53" spans="1:10" s="15" customFormat="1" x14ac:dyDescent="0.2">
      <c r="A53" s="14"/>
      <c r="F53" s="16"/>
      <c r="G53" s="17"/>
      <c r="H53" s="18"/>
      <c r="I53" s="19"/>
      <c r="J53" s="20"/>
    </row>
    <row r="55" spans="1:10" x14ac:dyDescent="0.2">
      <c r="E55" t="s">
        <v>31</v>
      </c>
      <c r="G55" s="12">
        <f>SUM(G3:G8,G12:G42,G46:G52)</f>
        <v>11683047</v>
      </c>
      <c r="H55" s="8" t="s">
        <v>25</v>
      </c>
      <c r="J55" s="6">
        <f>SUM(J3:J52)</f>
        <v>52444.037500000006</v>
      </c>
    </row>
    <row r="56" spans="1:10" x14ac:dyDescent="0.2">
      <c r="G56" s="12">
        <f>SUM(G10,G44)</f>
        <v>200000</v>
      </c>
      <c r="H56" s="8" t="s">
        <v>26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&amp;L&amp;"Arial,Bold"&amp;14CONFIDENTIAL&amp;CPage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2001 Summary</vt:lpstr>
      <vt:lpstr>Trades Agustin</vt:lpstr>
      <vt:lpstr>2000 Summary </vt:lpstr>
      <vt:lpstr>2000 detail</vt:lpstr>
      <vt:lpstr>1999</vt:lpstr>
      <vt:lpstr>'2000 detail'!Print_Area</vt:lpstr>
      <vt:lpstr>'1999'!Print_Titles</vt:lpstr>
      <vt:lpstr>'2000 detail'!Print_Titles</vt:lpstr>
      <vt:lpstr>'2000 Summary '!Print_Titles</vt:lpstr>
      <vt:lpstr>'2001 Summary'!Print_Titles</vt:lpstr>
      <vt:lpstr>'Trades Agustin'!Print_Titles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aperez</dc:creator>
  <cp:lastModifiedBy>Jan Havlíček</cp:lastModifiedBy>
  <cp:lastPrinted>2001-04-03T23:15:33Z</cp:lastPrinted>
  <dcterms:created xsi:type="dcterms:W3CDTF">1999-12-07T23:55:43Z</dcterms:created>
  <dcterms:modified xsi:type="dcterms:W3CDTF">2023-09-13T18:18:01Z</dcterms:modified>
</cp:coreProperties>
</file>