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FF1BF0A-A185-4502-B9EA-6A5A69CBC08C}" xr6:coauthVersionLast="47" xr6:coauthVersionMax="47" xr10:uidLastSave="{00000000-0000-0000-0000-000000000000}"/>
  <bookViews>
    <workbookView xWindow="-120" yWindow="-120" windowWidth="38640" windowHeight="15720" tabRatio="592" firstSheet="4" activeTab="4"/>
  </bookViews>
  <sheets>
    <sheet name="Sheet2" sheetId="8" state="hidden" r:id="rId1"/>
    <sheet name="NA Mquip" sheetId="7" state="hidden" r:id="rId2"/>
    <sheet name="EECC" sheetId="6" state="hidden" r:id="rId3"/>
    <sheet name="To Update" sheetId="9" state="hidden" r:id="rId4"/>
    <sheet name="Summary" sheetId="5" r:id="rId5"/>
    <sheet name="Wilton" sheetId="12" r:id="rId6"/>
    <sheet name="Calvert City" sheetId="10" r:id="rId7"/>
    <sheet name="Gleason" sheetId="15" r:id="rId8"/>
    <sheet name="Wheatland" sheetId="13" r:id="rId9"/>
  </sheets>
  <externalReferences>
    <externalReference r:id="rId10"/>
  </externalReferences>
  <definedNames>
    <definedName name="_xlnm.Print_Area" localSheetId="6">'Calvert City'!$A$1:$BV$218</definedName>
    <definedName name="_xlnm.Print_Area" localSheetId="7">Gleason!$A$1:$BX$259</definedName>
    <definedName name="_xlnm.Print_Area" localSheetId="4">Summary!$A$1:$O$118</definedName>
    <definedName name="_xlnm.Print_Area" localSheetId="8">Wheatland!$A$1:$BV$188</definedName>
    <definedName name="_xlnm.Print_Area" localSheetId="5">Wilton!$A$1:$BV$269</definedName>
    <definedName name="_xlnm.Print_Titles" localSheetId="6">'Calvert City'!$A:$B,'Calvert City'!$1:$7</definedName>
    <definedName name="_xlnm.Print_Titles" localSheetId="7">Gleason!$A:$B,Gleason!$1:$7</definedName>
    <definedName name="_xlnm.Print_Titles" localSheetId="8">Wheatland!$A:$B,Wheatland!$1:$7</definedName>
    <definedName name="_xlnm.Print_Titles" localSheetId="5">Wilton!$A:$B,Wilton!$1:$7</definedName>
    <definedName name="To_Hide" localSheetId="6">'Calvert City'!$C:$I,'Calvert City'!$T:$BL,'Calvert City'!$BO:$BP,'Calvert City'!$BM:$BM</definedName>
    <definedName name="To_Hide" localSheetId="7">Gleason!$C:$I,Gleason!$T:$BL,Gleason!$BQ:$BR,Gleason!$BO:$BO</definedName>
    <definedName name="To_Hide" localSheetId="8">Wheatland!$C:$I,Wheatland!$T:$BJ,Wheatland!$BO:$BP,Wheatland!$BM:$BM</definedName>
    <definedName name="To_Hide" localSheetId="5">Wilton!$C:$I,Wilton!$T:$BJ,Wilton!$BO:$BP,Wilton!$BM:$BM</definedName>
    <definedName name="To_Hide">#REF!,#REF!,#REF!,#REF!</definedName>
  </definedNames>
  <calcPr calcId="0" fullCalcOnLoad="1"/>
</workbook>
</file>

<file path=xl/calcChain.xml><?xml version="1.0" encoding="utf-8"?>
<calcChain xmlns="http://schemas.openxmlformats.org/spreadsheetml/2006/main">
  <c r="A1" i="10" l="1"/>
  <c r="A2" i="10"/>
  <c r="BV2" i="10"/>
  <c r="BR3" i="10"/>
  <c r="BV3" i="10"/>
  <c r="B4" i="10"/>
  <c r="N7" i="10"/>
  <c r="R7" i="10"/>
  <c r="T7" i="10"/>
  <c r="V7" i="10"/>
  <c r="X7" i="10"/>
  <c r="Z7" i="10"/>
  <c r="AB7" i="10"/>
  <c r="AD7" i="10"/>
  <c r="AF7" i="10"/>
  <c r="AH7" i="10"/>
  <c r="AJ7" i="10"/>
  <c r="AL7" i="10"/>
  <c r="AN7" i="10"/>
  <c r="AP7" i="10"/>
  <c r="AR7" i="10"/>
  <c r="AT7" i="10"/>
  <c r="AV7" i="10"/>
  <c r="AX7" i="10"/>
  <c r="AZ7" i="10"/>
  <c r="BB7" i="10"/>
  <c r="BD7" i="10"/>
  <c r="BF7" i="10"/>
  <c r="BH7" i="10"/>
  <c r="BJ7" i="10"/>
  <c r="BL7" i="10"/>
  <c r="BN7" i="10"/>
  <c r="BP7" i="10"/>
  <c r="T9" i="10"/>
  <c r="V9" i="10"/>
  <c r="X9" i="10"/>
  <c r="AD9" i="10"/>
  <c r="BN9" i="10"/>
  <c r="BR9" i="10"/>
  <c r="BT9" i="10"/>
  <c r="BV9" i="10"/>
  <c r="T10" i="10"/>
  <c r="BN10" i="10"/>
  <c r="BR10" i="10"/>
  <c r="BT10" i="10"/>
  <c r="BV10" i="10"/>
  <c r="R11" i="10"/>
  <c r="BN11" i="10"/>
  <c r="BR11" i="10"/>
  <c r="BT11" i="10"/>
  <c r="BV11" i="10"/>
  <c r="R12" i="10"/>
  <c r="BN12" i="10"/>
  <c r="BR12" i="10"/>
  <c r="BT12" i="10"/>
  <c r="BV12" i="10"/>
  <c r="R13" i="10"/>
  <c r="BN13" i="10"/>
  <c r="BR13" i="10"/>
  <c r="BT13" i="10"/>
  <c r="BV13" i="10"/>
  <c r="BN14" i="10"/>
  <c r="BR14" i="10"/>
  <c r="BT14" i="10"/>
  <c r="BV14" i="10"/>
  <c r="BR15" i="10"/>
  <c r="BV15" i="10"/>
  <c r="N16" i="10"/>
  <c r="P16" i="10"/>
  <c r="R16" i="10"/>
  <c r="T16" i="10"/>
  <c r="V16" i="10"/>
  <c r="X16" i="10"/>
  <c r="Z16" i="10"/>
  <c r="AB16" i="10"/>
  <c r="AD16" i="10"/>
  <c r="AF16" i="10"/>
  <c r="AH16" i="10"/>
  <c r="AJ16" i="10"/>
  <c r="AL16" i="10"/>
  <c r="AN16" i="10"/>
  <c r="AP16" i="10"/>
  <c r="AR16" i="10"/>
  <c r="AT16" i="10"/>
  <c r="AV16" i="10"/>
  <c r="AX16" i="10"/>
  <c r="AZ16" i="10"/>
  <c r="BB16" i="10"/>
  <c r="BD16" i="10"/>
  <c r="BF16" i="10"/>
  <c r="BH16" i="10"/>
  <c r="BJ16" i="10"/>
  <c r="BL16" i="10"/>
  <c r="BN16" i="10"/>
  <c r="BP16" i="10"/>
  <c r="BR16" i="10"/>
  <c r="BT16" i="10"/>
  <c r="BV16" i="10"/>
  <c r="R18" i="10"/>
  <c r="BN18" i="10"/>
  <c r="BR18" i="10"/>
  <c r="BT18" i="10"/>
  <c r="BV18" i="10"/>
  <c r="BN19" i="10"/>
  <c r="BR19" i="10"/>
  <c r="BT19" i="10"/>
  <c r="BV19" i="10"/>
  <c r="BR20" i="10"/>
  <c r="BT20" i="10"/>
  <c r="BV20" i="10"/>
  <c r="BR21" i="10"/>
  <c r="BT21" i="10"/>
  <c r="BV21" i="10"/>
  <c r="BR22" i="10"/>
  <c r="BT22" i="10"/>
  <c r="BV22" i="10"/>
  <c r="BR23" i="10"/>
  <c r="BT23" i="10"/>
  <c r="BV23" i="10"/>
  <c r="BR24" i="10"/>
  <c r="BT24" i="10"/>
  <c r="BV24" i="10"/>
  <c r="R25" i="10"/>
  <c r="BN25" i="10"/>
  <c r="BR25" i="10"/>
  <c r="BT25" i="10"/>
  <c r="BV25" i="10"/>
  <c r="R26" i="10"/>
  <c r="BN26" i="10"/>
  <c r="BR26" i="10"/>
  <c r="BT26" i="10"/>
  <c r="BV26" i="10"/>
  <c r="R27" i="10"/>
  <c r="BN27" i="10"/>
  <c r="BR27" i="10"/>
  <c r="BT27" i="10"/>
  <c r="BV27" i="10"/>
  <c r="R28" i="10"/>
  <c r="BN28" i="10"/>
  <c r="BR28" i="10"/>
  <c r="BT28" i="10"/>
  <c r="BV28" i="10"/>
  <c r="R29" i="10"/>
  <c r="BN29" i="10"/>
  <c r="BR29" i="10"/>
  <c r="BT29" i="10"/>
  <c r="BV29" i="10"/>
  <c r="R30" i="10"/>
  <c r="BN30" i="10"/>
  <c r="BR30" i="10"/>
  <c r="BT30" i="10"/>
  <c r="BV30" i="10"/>
  <c r="R31" i="10"/>
  <c r="BN31" i="10"/>
  <c r="BR31" i="10"/>
  <c r="BT31" i="10"/>
  <c r="BV31" i="10"/>
  <c r="R32" i="10"/>
  <c r="BN32" i="10"/>
  <c r="BR32" i="10"/>
  <c r="BT32" i="10"/>
  <c r="BV32" i="10"/>
  <c r="BN33" i="10"/>
  <c r="BR33" i="10"/>
  <c r="BT33" i="10"/>
  <c r="BV33" i="10"/>
  <c r="BR34" i="10"/>
  <c r="BT34" i="10"/>
  <c r="BV34" i="10"/>
  <c r="N35" i="10"/>
  <c r="P35" i="10"/>
  <c r="R35" i="10"/>
  <c r="T35" i="10"/>
  <c r="V35" i="10"/>
  <c r="X35" i="10"/>
  <c r="Z35" i="10"/>
  <c r="AB35" i="10"/>
  <c r="AD35" i="10"/>
  <c r="AF35" i="10"/>
  <c r="AH35" i="10"/>
  <c r="AJ35" i="10"/>
  <c r="AL35" i="10"/>
  <c r="AN35" i="10"/>
  <c r="AP35" i="10"/>
  <c r="AR35" i="10"/>
  <c r="AT35" i="10"/>
  <c r="AV35" i="10"/>
  <c r="AX35" i="10"/>
  <c r="AZ35" i="10"/>
  <c r="BB35" i="10"/>
  <c r="BD35" i="10"/>
  <c r="BF35" i="10"/>
  <c r="BH35" i="10"/>
  <c r="BJ35" i="10"/>
  <c r="BL35" i="10"/>
  <c r="BN35" i="10"/>
  <c r="BP35" i="10"/>
  <c r="BR35" i="10"/>
  <c r="BT35" i="10"/>
  <c r="BV35" i="10"/>
  <c r="N37" i="10"/>
  <c r="P37" i="10"/>
  <c r="R37" i="10"/>
  <c r="T37" i="10"/>
  <c r="V37" i="10"/>
  <c r="X37" i="10"/>
  <c r="Z37" i="10"/>
  <c r="AB37" i="10"/>
  <c r="AD37" i="10"/>
  <c r="AF37" i="10"/>
  <c r="AH37" i="10"/>
  <c r="AJ37" i="10"/>
  <c r="AL37" i="10"/>
  <c r="AN37" i="10"/>
  <c r="AP37" i="10"/>
  <c r="AR37" i="10"/>
  <c r="AT37" i="10"/>
  <c r="AV37" i="10"/>
  <c r="AX37" i="10"/>
  <c r="AZ37" i="10"/>
  <c r="BB37" i="10"/>
  <c r="BD37" i="10"/>
  <c r="BF37" i="10"/>
  <c r="BH37" i="10"/>
  <c r="BJ37" i="10"/>
  <c r="BL37" i="10"/>
  <c r="BN37" i="10"/>
  <c r="BP37" i="10"/>
  <c r="BR37" i="10"/>
  <c r="BT37" i="10"/>
  <c r="BV37" i="10"/>
  <c r="BN41" i="10"/>
  <c r="BR41" i="10"/>
  <c r="BT41" i="10"/>
  <c r="BV41" i="10"/>
  <c r="BN42" i="10"/>
  <c r="BR42" i="10"/>
  <c r="BT42" i="10"/>
  <c r="BV42" i="10"/>
  <c r="BN43" i="10"/>
  <c r="BR43" i="10"/>
  <c r="BT43" i="10"/>
  <c r="BV43" i="10"/>
  <c r="BN44" i="10"/>
  <c r="BR44" i="10"/>
  <c r="BT44" i="10"/>
  <c r="BV44" i="10"/>
  <c r="BN45" i="10"/>
  <c r="BR45" i="10"/>
  <c r="BT45" i="10"/>
  <c r="BV45" i="10"/>
  <c r="BN46" i="10"/>
  <c r="BR46" i="10"/>
  <c r="BT46" i="10"/>
  <c r="BV46" i="10"/>
  <c r="BN47" i="10"/>
  <c r="BR47" i="10"/>
  <c r="BT47" i="10"/>
  <c r="BV47" i="10"/>
  <c r="BN48" i="10"/>
  <c r="BR48" i="10"/>
  <c r="BT48" i="10"/>
  <c r="BV48" i="10"/>
  <c r="BN49" i="10"/>
  <c r="BR49" i="10"/>
  <c r="BT49" i="10"/>
  <c r="BV49" i="10"/>
  <c r="BN50" i="10"/>
  <c r="BR50" i="10"/>
  <c r="BT50" i="10"/>
  <c r="BV50" i="10"/>
  <c r="R51" i="10"/>
  <c r="BN51" i="10"/>
  <c r="BR51" i="10"/>
  <c r="BT51" i="10"/>
  <c r="BV51" i="10"/>
  <c r="R52" i="10"/>
  <c r="BN52" i="10"/>
  <c r="BR52" i="10"/>
  <c r="BT52" i="10"/>
  <c r="BV52" i="10"/>
  <c r="R53" i="10"/>
  <c r="BN53" i="10"/>
  <c r="BR53" i="10"/>
  <c r="BT53" i="10"/>
  <c r="BV53" i="10"/>
  <c r="R54" i="10"/>
  <c r="BN54" i="10"/>
  <c r="BR54" i="10"/>
  <c r="BT54" i="10"/>
  <c r="BV54" i="10"/>
  <c r="R55" i="10"/>
  <c r="BN55" i="10"/>
  <c r="BR55" i="10"/>
  <c r="BT55" i="10"/>
  <c r="BV55" i="10"/>
  <c r="R56" i="10"/>
  <c r="BN56" i="10"/>
  <c r="BR56" i="10"/>
  <c r="BT56" i="10"/>
  <c r="BV56" i="10"/>
  <c r="R57" i="10"/>
  <c r="BN57" i="10"/>
  <c r="BR57" i="10"/>
  <c r="BT57" i="10"/>
  <c r="BV57" i="10"/>
  <c r="R58" i="10"/>
  <c r="BN58" i="10"/>
  <c r="BR58" i="10"/>
  <c r="BT58" i="10"/>
  <c r="BV58" i="10"/>
  <c r="R59" i="10"/>
  <c r="BN59" i="10"/>
  <c r="BR59" i="10"/>
  <c r="BT59" i="10"/>
  <c r="BV59" i="10"/>
  <c r="R60" i="10"/>
  <c r="BN60" i="10"/>
  <c r="BR60" i="10"/>
  <c r="BT60" i="10"/>
  <c r="BV60" i="10"/>
  <c r="R61" i="10"/>
  <c r="BN61" i="10"/>
  <c r="BR61" i="10"/>
  <c r="BT61" i="10"/>
  <c r="BV61" i="10"/>
  <c r="R62" i="10"/>
  <c r="BN62" i="10"/>
  <c r="BR62" i="10"/>
  <c r="BT62" i="10"/>
  <c r="BV62" i="10"/>
  <c r="R63" i="10"/>
  <c r="BN63" i="10"/>
  <c r="BR63" i="10"/>
  <c r="BT63" i="10"/>
  <c r="BV63" i="10"/>
  <c r="R64" i="10"/>
  <c r="BN64" i="10"/>
  <c r="BR64" i="10"/>
  <c r="BT64" i="10"/>
  <c r="BV64" i="10"/>
  <c r="R65" i="10"/>
  <c r="BN65" i="10"/>
  <c r="BR65" i="10"/>
  <c r="BT65" i="10"/>
  <c r="BV65" i="10"/>
  <c r="R66" i="10"/>
  <c r="BN66" i="10"/>
  <c r="BR66" i="10"/>
  <c r="BT66" i="10"/>
  <c r="BV66" i="10"/>
  <c r="R67" i="10"/>
  <c r="BN67" i="10"/>
  <c r="BR67" i="10"/>
  <c r="BT67" i="10"/>
  <c r="BV67" i="10"/>
  <c r="R68" i="10"/>
  <c r="BN68" i="10"/>
  <c r="BR68" i="10"/>
  <c r="BT68" i="10"/>
  <c r="BV68" i="10"/>
  <c r="BR69" i="10"/>
  <c r="BT69" i="10"/>
  <c r="BV69" i="10"/>
  <c r="N70" i="10"/>
  <c r="P70" i="10"/>
  <c r="R70" i="10"/>
  <c r="T70" i="10"/>
  <c r="V70" i="10"/>
  <c r="X70" i="10"/>
  <c r="Z70" i="10"/>
  <c r="AB70" i="10"/>
  <c r="AD70" i="10"/>
  <c r="AF70" i="10"/>
  <c r="AH70" i="10"/>
  <c r="AJ70" i="10"/>
  <c r="AL70" i="10"/>
  <c r="AN70" i="10"/>
  <c r="AP70" i="10"/>
  <c r="AR70" i="10"/>
  <c r="AT70" i="10"/>
  <c r="AV70" i="10"/>
  <c r="AX70" i="10"/>
  <c r="AZ70" i="10"/>
  <c r="BB70" i="10"/>
  <c r="BD70" i="10"/>
  <c r="BF70" i="10"/>
  <c r="BH70" i="10"/>
  <c r="BJ70" i="10"/>
  <c r="BL70" i="10"/>
  <c r="BN70" i="10"/>
  <c r="BP70" i="10"/>
  <c r="BR70" i="10"/>
  <c r="BT70" i="10"/>
  <c r="BV70" i="10"/>
  <c r="AH73" i="10"/>
  <c r="BN73" i="10"/>
  <c r="BR73" i="10"/>
  <c r="BT73" i="10"/>
  <c r="BV73" i="10"/>
  <c r="AH74" i="10"/>
  <c r="BN74" i="10"/>
  <c r="BR74" i="10"/>
  <c r="BT74" i="10"/>
  <c r="BV74" i="10"/>
  <c r="BN75" i="10"/>
  <c r="BR75" i="10"/>
  <c r="BT75" i="10"/>
  <c r="BV75" i="10"/>
  <c r="R76" i="10"/>
  <c r="BN76" i="10"/>
  <c r="BR76" i="10"/>
  <c r="BT76" i="10"/>
  <c r="BV76" i="10"/>
  <c r="R77" i="10"/>
  <c r="BN77" i="10"/>
  <c r="BR77" i="10"/>
  <c r="BT77" i="10"/>
  <c r="BV77" i="10"/>
  <c r="R78" i="10"/>
  <c r="BN78" i="10"/>
  <c r="BR78" i="10"/>
  <c r="BT78" i="10"/>
  <c r="BV78" i="10"/>
  <c r="BR79" i="10"/>
  <c r="N80" i="10"/>
  <c r="P80" i="10"/>
  <c r="R80" i="10"/>
  <c r="T80" i="10"/>
  <c r="V80" i="10"/>
  <c r="X80" i="10"/>
  <c r="Z80" i="10"/>
  <c r="AB80" i="10"/>
  <c r="AD80" i="10"/>
  <c r="AF80" i="10"/>
  <c r="AH80" i="10"/>
  <c r="AJ80" i="10"/>
  <c r="AL80" i="10"/>
  <c r="AN80" i="10"/>
  <c r="AP80" i="10"/>
  <c r="AR80" i="10"/>
  <c r="AT80" i="10"/>
  <c r="AV80" i="10"/>
  <c r="AX80" i="10"/>
  <c r="AZ80" i="10"/>
  <c r="BB80" i="10"/>
  <c r="BD80" i="10"/>
  <c r="BF80" i="10"/>
  <c r="BH80" i="10"/>
  <c r="BJ80" i="10"/>
  <c r="BL80" i="10"/>
  <c r="BN80" i="10"/>
  <c r="BP80" i="10"/>
  <c r="BR80" i="10"/>
  <c r="BT80" i="10"/>
  <c r="BV80" i="10"/>
  <c r="R83" i="10"/>
  <c r="BN83" i="10"/>
  <c r="BR83" i="10"/>
  <c r="BT83" i="10"/>
  <c r="BV83" i="10"/>
  <c r="R84" i="10"/>
  <c r="BN84" i="10"/>
  <c r="BR84" i="10"/>
  <c r="BT84" i="10"/>
  <c r="BV84" i="10"/>
  <c r="R85" i="10"/>
  <c r="BN85" i="10"/>
  <c r="BR85" i="10"/>
  <c r="BT85" i="10"/>
  <c r="BV85" i="10"/>
  <c r="R86" i="10"/>
  <c r="BN86" i="10"/>
  <c r="BR86" i="10"/>
  <c r="BT86" i="10"/>
  <c r="BV86" i="10"/>
  <c r="R87" i="10"/>
  <c r="BN87" i="10"/>
  <c r="BR87" i="10"/>
  <c r="BT87" i="10"/>
  <c r="BV87" i="10"/>
  <c r="N89" i="10"/>
  <c r="P89" i="10"/>
  <c r="R89" i="10"/>
  <c r="T89" i="10"/>
  <c r="V89" i="10"/>
  <c r="X89" i="10"/>
  <c r="Z89" i="10"/>
  <c r="AB89" i="10"/>
  <c r="AD89" i="10"/>
  <c r="AF89" i="10"/>
  <c r="AH89" i="10"/>
  <c r="AJ89" i="10"/>
  <c r="AL89" i="10"/>
  <c r="AN89" i="10"/>
  <c r="AP89" i="10"/>
  <c r="AR89" i="10"/>
  <c r="AT89" i="10"/>
  <c r="AV89" i="10"/>
  <c r="AX89" i="10"/>
  <c r="AZ89" i="10"/>
  <c r="BB89" i="10"/>
  <c r="BD89" i="10"/>
  <c r="BF89" i="10"/>
  <c r="BH89" i="10"/>
  <c r="BJ89" i="10"/>
  <c r="BL89" i="10"/>
  <c r="BN89" i="10"/>
  <c r="BP89" i="10"/>
  <c r="BR89" i="10"/>
  <c r="BT89" i="10"/>
  <c r="BV89" i="10"/>
  <c r="R92" i="10"/>
  <c r="BN92" i="10"/>
  <c r="BR92" i="10"/>
  <c r="BT92" i="10"/>
  <c r="BV92" i="10"/>
  <c r="R93" i="10"/>
  <c r="BN93" i="10"/>
  <c r="BR93" i="10"/>
  <c r="BT93" i="10"/>
  <c r="BV93" i="10"/>
  <c r="R94" i="10"/>
  <c r="BN94" i="10"/>
  <c r="BR94" i="10"/>
  <c r="BT94" i="10"/>
  <c r="BV94" i="10"/>
  <c r="R95" i="10"/>
  <c r="BN95" i="10"/>
  <c r="BR95" i="10"/>
  <c r="BT95" i="10"/>
  <c r="BV95" i="10"/>
  <c r="R96" i="10"/>
  <c r="BN96" i="10"/>
  <c r="BR96" i="10"/>
  <c r="BT96" i="10"/>
  <c r="BV96" i="10"/>
  <c r="R97" i="10"/>
  <c r="BN97" i="10"/>
  <c r="BR97" i="10"/>
  <c r="BT97" i="10"/>
  <c r="BV97" i="10"/>
  <c r="R98" i="10"/>
  <c r="BN98" i="10"/>
  <c r="BR98" i="10"/>
  <c r="BT98" i="10"/>
  <c r="BV98" i="10"/>
  <c r="R99" i="10"/>
  <c r="BN99" i="10"/>
  <c r="BR99" i="10"/>
  <c r="BT99" i="10"/>
  <c r="BV99" i="10"/>
  <c r="R100" i="10"/>
  <c r="BN100" i="10"/>
  <c r="BR100" i="10"/>
  <c r="BT100" i="10"/>
  <c r="BV100" i="10"/>
  <c r="BT101" i="10"/>
  <c r="BV101" i="10"/>
  <c r="R102" i="10"/>
  <c r="BN102" i="10"/>
  <c r="BR102" i="10"/>
  <c r="BT102" i="10"/>
  <c r="BV102" i="10"/>
  <c r="R103" i="10"/>
  <c r="BN103" i="10"/>
  <c r="BR103" i="10"/>
  <c r="BT103" i="10"/>
  <c r="BV103" i="10"/>
  <c r="R104" i="10"/>
  <c r="BN104" i="10"/>
  <c r="BR104" i="10"/>
  <c r="BT104" i="10"/>
  <c r="BV104" i="10"/>
  <c r="BT105" i="10"/>
  <c r="BV105" i="10"/>
  <c r="R106" i="10"/>
  <c r="BN106" i="10"/>
  <c r="BR106" i="10"/>
  <c r="BT106" i="10"/>
  <c r="BV106" i="10"/>
  <c r="R107" i="10"/>
  <c r="BN107" i="10"/>
  <c r="BR107" i="10"/>
  <c r="BT107" i="10"/>
  <c r="BV107" i="10"/>
  <c r="R108" i="10"/>
  <c r="BN108" i="10"/>
  <c r="BR108" i="10"/>
  <c r="BT108" i="10"/>
  <c r="BV108" i="10"/>
  <c r="R109" i="10"/>
  <c r="BN109" i="10"/>
  <c r="BR109" i="10"/>
  <c r="BT109" i="10"/>
  <c r="BV109" i="10"/>
  <c r="R110" i="10"/>
  <c r="BN110" i="10"/>
  <c r="BR110" i="10"/>
  <c r="BT110" i="10"/>
  <c r="BV110" i="10"/>
  <c r="R111" i="10"/>
  <c r="BN111" i="10"/>
  <c r="BR111" i="10"/>
  <c r="BT111" i="10"/>
  <c r="BV111" i="10"/>
  <c r="R112" i="10"/>
  <c r="BN112" i="10"/>
  <c r="BR112" i="10"/>
  <c r="BT112" i="10"/>
  <c r="BV112" i="10"/>
  <c r="R113" i="10"/>
  <c r="BN113" i="10"/>
  <c r="BR113" i="10"/>
  <c r="BT113" i="10"/>
  <c r="BV113" i="10"/>
  <c r="R114" i="10"/>
  <c r="BN114" i="10"/>
  <c r="BR114" i="10"/>
  <c r="BT114" i="10"/>
  <c r="BV114" i="10"/>
  <c r="R115" i="10"/>
  <c r="BN115" i="10"/>
  <c r="BR115" i="10"/>
  <c r="BT115" i="10"/>
  <c r="BV115" i="10"/>
  <c r="N117" i="10"/>
  <c r="P117" i="10"/>
  <c r="R117" i="10"/>
  <c r="T117" i="10"/>
  <c r="V117" i="10"/>
  <c r="X117" i="10"/>
  <c r="Z117" i="10"/>
  <c r="AB117" i="10"/>
  <c r="AD117" i="10"/>
  <c r="AF117" i="10"/>
  <c r="AH117" i="10"/>
  <c r="AJ117" i="10"/>
  <c r="AN117" i="10"/>
  <c r="AP117" i="10"/>
  <c r="AR117" i="10"/>
  <c r="AT117" i="10"/>
  <c r="AV117" i="10"/>
  <c r="AX117" i="10"/>
  <c r="AZ117" i="10"/>
  <c r="BB117" i="10"/>
  <c r="BD117" i="10"/>
  <c r="BF117" i="10"/>
  <c r="BH117" i="10"/>
  <c r="BJ117" i="10"/>
  <c r="BL117" i="10"/>
  <c r="BN117" i="10"/>
  <c r="BP117" i="10"/>
  <c r="BR117" i="10"/>
  <c r="BT117" i="10"/>
  <c r="BV117" i="10"/>
  <c r="R120" i="10"/>
  <c r="BN120" i="10"/>
  <c r="BR120" i="10"/>
  <c r="BT120" i="10"/>
  <c r="BV120" i="10"/>
  <c r="R121" i="10"/>
  <c r="BN121" i="10"/>
  <c r="BR121" i="10"/>
  <c r="BT121" i="10"/>
  <c r="BV121" i="10"/>
  <c r="R122" i="10"/>
  <c r="BN122" i="10"/>
  <c r="BR122" i="10"/>
  <c r="BT122" i="10"/>
  <c r="BV122" i="10"/>
  <c r="R123" i="10"/>
  <c r="BN123" i="10"/>
  <c r="BR123" i="10"/>
  <c r="BT123" i="10"/>
  <c r="BV123" i="10"/>
  <c r="R124" i="10"/>
  <c r="BN124" i="10"/>
  <c r="BR124" i="10"/>
  <c r="BT124" i="10"/>
  <c r="BV124" i="10"/>
  <c r="R125" i="10"/>
  <c r="BN125" i="10"/>
  <c r="BR125" i="10"/>
  <c r="BT125" i="10"/>
  <c r="BV125" i="10"/>
  <c r="R126" i="10"/>
  <c r="BN126" i="10"/>
  <c r="BR126" i="10"/>
  <c r="BT126" i="10"/>
  <c r="BV126" i="10"/>
  <c r="R127" i="10"/>
  <c r="BN127" i="10"/>
  <c r="BR127" i="10"/>
  <c r="BT127" i="10"/>
  <c r="BV127" i="10"/>
  <c r="R128" i="10"/>
  <c r="BN128" i="10"/>
  <c r="BR128" i="10"/>
  <c r="BT128" i="10"/>
  <c r="BV128" i="10"/>
  <c r="R129" i="10"/>
  <c r="BN129" i="10"/>
  <c r="BR129" i="10"/>
  <c r="BT129" i="10"/>
  <c r="BV129" i="10"/>
  <c r="N131" i="10"/>
  <c r="P131" i="10"/>
  <c r="R131" i="10"/>
  <c r="T131" i="10"/>
  <c r="V131" i="10"/>
  <c r="X131" i="10"/>
  <c r="Z131" i="10"/>
  <c r="AB131" i="10"/>
  <c r="AD131" i="10"/>
  <c r="AF131" i="10"/>
  <c r="AH131" i="10"/>
  <c r="AJ131" i="10"/>
  <c r="AN131" i="10"/>
  <c r="AP131" i="10"/>
  <c r="AR131" i="10"/>
  <c r="AT131" i="10"/>
  <c r="AV131" i="10"/>
  <c r="AX131" i="10"/>
  <c r="AZ131" i="10"/>
  <c r="BB131" i="10"/>
  <c r="BD131" i="10"/>
  <c r="BF131" i="10"/>
  <c r="BH131" i="10"/>
  <c r="BJ131" i="10"/>
  <c r="BL131" i="10"/>
  <c r="BN131" i="10"/>
  <c r="BP131" i="10"/>
  <c r="BR131" i="10"/>
  <c r="BT131" i="10"/>
  <c r="BV131" i="10"/>
  <c r="BN135" i="10"/>
  <c r="BR135" i="10"/>
  <c r="BT135" i="10"/>
  <c r="BV135" i="10"/>
  <c r="R136" i="10"/>
  <c r="BN136" i="10"/>
  <c r="BR136" i="10"/>
  <c r="BT136" i="10"/>
  <c r="BV136" i="10"/>
  <c r="BN137" i="10"/>
  <c r="BR137" i="10"/>
  <c r="BT137" i="10"/>
  <c r="BV137" i="10"/>
  <c r="N138" i="10"/>
  <c r="P138" i="10"/>
  <c r="R138" i="10"/>
  <c r="T138" i="10"/>
  <c r="V138" i="10"/>
  <c r="X138" i="10"/>
  <c r="Z138" i="10"/>
  <c r="AB138" i="10"/>
  <c r="AD138" i="10"/>
  <c r="AF138" i="10"/>
  <c r="AH138" i="10"/>
  <c r="AJ138" i="10"/>
  <c r="AL138" i="10"/>
  <c r="AN138" i="10"/>
  <c r="AP138" i="10"/>
  <c r="AR138" i="10"/>
  <c r="AT138" i="10"/>
  <c r="AV138" i="10"/>
  <c r="AX138" i="10"/>
  <c r="AZ138" i="10"/>
  <c r="BB138" i="10"/>
  <c r="BD138" i="10"/>
  <c r="BF138" i="10"/>
  <c r="BH138" i="10"/>
  <c r="BJ138" i="10"/>
  <c r="BL138" i="10"/>
  <c r="BN138" i="10"/>
  <c r="BP138" i="10"/>
  <c r="BR138" i="10"/>
  <c r="BT138" i="10"/>
  <c r="BV138" i="10"/>
  <c r="BN140" i="10"/>
  <c r="BR140" i="10"/>
  <c r="BT140" i="10"/>
  <c r="BV140" i="10"/>
  <c r="BN142" i="10"/>
  <c r="BR142" i="10"/>
  <c r="BT142" i="10"/>
  <c r="BV142" i="10"/>
  <c r="BN144" i="10"/>
  <c r="BR144" i="10"/>
  <c r="BT144" i="10"/>
  <c r="BV144" i="10"/>
  <c r="BN146" i="10"/>
  <c r="BR146" i="10"/>
  <c r="BT146" i="10"/>
  <c r="BV146" i="10"/>
  <c r="BN149" i="10"/>
  <c r="BR149" i="10"/>
  <c r="BT149" i="10"/>
  <c r="BV149" i="10"/>
  <c r="BN150" i="10"/>
  <c r="BR150" i="10"/>
  <c r="BT150" i="10"/>
  <c r="BV150" i="10"/>
  <c r="BN151" i="10"/>
  <c r="BR151" i="10"/>
  <c r="BT151" i="10"/>
  <c r="BV151" i="10"/>
  <c r="BR152" i="10"/>
  <c r="BT152" i="10"/>
  <c r="BV152" i="10"/>
  <c r="N153" i="10"/>
  <c r="P153" i="10"/>
  <c r="R153" i="10"/>
  <c r="T153" i="10"/>
  <c r="V153" i="10"/>
  <c r="X153" i="10"/>
  <c r="Z153" i="10"/>
  <c r="AB153" i="10"/>
  <c r="AD153" i="10"/>
  <c r="AF153" i="10"/>
  <c r="AH153" i="10"/>
  <c r="AJ153" i="10"/>
  <c r="AL153" i="10"/>
  <c r="AN153" i="10"/>
  <c r="AP153" i="10"/>
  <c r="AR153" i="10"/>
  <c r="AT153" i="10"/>
  <c r="AV153" i="10"/>
  <c r="AX153" i="10"/>
  <c r="AZ153" i="10"/>
  <c r="BB153" i="10"/>
  <c r="BD153" i="10"/>
  <c r="BF153" i="10"/>
  <c r="BH153" i="10"/>
  <c r="BJ153" i="10"/>
  <c r="BL153" i="10"/>
  <c r="BN153" i="10"/>
  <c r="BP153" i="10"/>
  <c r="BR153" i="10"/>
  <c r="BT153" i="10"/>
  <c r="BV153" i="10"/>
  <c r="AH156" i="10"/>
  <c r="BN156" i="10"/>
  <c r="BR156" i="10"/>
  <c r="BT156" i="10"/>
  <c r="BV156" i="10"/>
  <c r="AH157" i="10"/>
  <c r="BN157" i="10"/>
  <c r="BR157" i="10"/>
  <c r="BT157" i="10"/>
  <c r="BV157" i="10"/>
  <c r="X158" i="10"/>
  <c r="AD158" i="10"/>
  <c r="BN158" i="10"/>
  <c r="BR158" i="10"/>
  <c r="BT158" i="10"/>
  <c r="BV158" i="10"/>
  <c r="X159" i="10"/>
  <c r="Z159" i="10"/>
  <c r="AB159" i="10"/>
  <c r="AD159" i="10"/>
  <c r="BN159" i="10"/>
  <c r="BR159" i="10"/>
  <c r="BT159" i="10"/>
  <c r="BV159" i="10"/>
  <c r="BN160" i="10"/>
  <c r="BR160" i="10"/>
  <c r="BT160" i="10"/>
  <c r="BV160" i="10"/>
  <c r="AL161" i="10"/>
  <c r="AN161" i="10"/>
  <c r="BN161" i="10"/>
  <c r="BR161" i="10"/>
  <c r="BT161" i="10"/>
  <c r="BV161" i="10"/>
  <c r="BR162" i="10"/>
  <c r="N163" i="10"/>
  <c r="P163" i="10"/>
  <c r="R163" i="10"/>
  <c r="T163" i="10"/>
  <c r="V163" i="10"/>
  <c r="X163" i="10"/>
  <c r="Z163" i="10"/>
  <c r="AB163" i="10"/>
  <c r="AD163" i="10"/>
  <c r="AF163" i="10"/>
  <c r="AH163" i="10"/>
  <c r="AJ163" i="10"/>
  <c r="AL163" i="10"/>
  <c r="AN163" i="10"/>
  <c r="AP163" i="10"/>
  <c r="AR163" i="10"/>
  <c r="AT163" i="10"/>
  <c r="AV163" i="10"/>
  <c r="AX163" i="10"/>
  <c r="AZ163" i="10"/>
  <c r="BB163" i="10"/>
  <c r="BD163" i="10"/>
  <c r="BF163" i="10"/>
  <c r="BH163" i="10"/>
  <c r="BJ163" i="10"/>
  <c r="BL163" i="10"/>
  <c r="BN163" i="10"/>
  <c r="BP163" i="10"/>
  <c r="BR163" i="10"/>
  <c r="BT163" i="10"/>
  <c r="BV163" i="10"/>
  <c r="Q166" i="10"/>
  <c r="BN166" i="10"/>
  <c r="BR166" i="10"/>
  <c r="BT166" i="10"/>
  <c r="BU166" i="10"/>
  <c r="BV166" i="10"/>
  <c r="O167" i="10"/>
  <c r="Q167" i="10"/>
  <c r="BN167" i="10"/>
  <c r="BR167" i="10"/>
  <c r="BT167" i="10"/>
  <c r="M168" i="10"/>
  <c r="O168" i="10"/>
  <c r="Q168" i="10"/>
  <c r="BN168" i="10"/>
  <c r="BR168" i="10"/>
  <c r="BT168" i="10"/>
  <c r="BR169" i="10"/>
  <c r="BT169" i="10"/>
  <c r="M170" i="10"/>
  <c r="O170" i="10"/>
  <c r="Q170" i="10"/>
  <c r="R170" i="10"/>
  <c r="T170" i="10"/>
  <c r="V170" i="10"/>
  <c r="X170" i="10"/>
  <c r="Z170" i="10"/>
  <c r="AB170" i="10"/>
  <c r="AD170" i="10"/>
  <c r="AF170" i="10"/>
  <c r="AH170" i="10"/>
  <c r="AJ170" i="10"/>
  <c r="AL170" i="10"/>
  <c r="AN170" i="10"/>
  <c r="AP170" i="10"/>
  <c r="AR170" i="10"/>
  <c r="AT170" i="10"/>
  <c r="AV170" i="10"/>
  <c r="AX170" i="10"/>
  <c r="AZ170" i="10"/>
  <c r="BB170" i="10"/>
  <c r="BD170" i="10"/>
  <c r="BF170" i="10"/>
  <c r="BH170" i="10"/>
  <c r="BJ170" i="10"/>
  <c r="BL170" i="10"/>
  <c r="BN170" i="10"/>
  <c r="BP170" i="10"/>
  <c r="BR170" i="10"/>
  <c r="BT170" i="10"/>
  <c r="BU170" i="10"/>
  <c r="BV170" i="10"/>
  <c r="BN172" i="10"/>
  <c r="BR172" i="10"/>
  <c r="BT172" i="10"/>
  <c r="BV172" i="10"/>
  <c r="R175" i="10"/>
  <c r="BN175" i="10"/>
  <c r="BR175" i="10"/>
  <c r="BT175" i="10"/>
  <c r="BV175" i="10"/>
  <c r="BN176" i="10"/>
  <c r="BR176" i="10"/>
  <c r="BT176" i="10"/>
  <c r="BV176" i="10"/>
  <c r="BN177" i="10"/>
  <c r="BR177" i="10"/>
  <c r="BT177" i="10"/>
  <c r="BV177" i="10"/>
  <c r="N178" i="10"/>
  <c r="P178" i="10"/>
  <c r="R178" i="10"/>
  <c r="T178" i="10"/>
  <c r="V178" i="10"/>
  <c r="X178" i="10"/>
  <c r="Z178" i="10"/>
  <c r="AB178" i="10"/>
  <c r="AD178" i="10"/>
  <c r="AF178" i="10"/>
  <c r="AH178" i="10"/>
  <c r="AJ178" i="10"/>
  <c r="AL178" i="10"/>
  <c r="AN178" i="10"/>
  <c r="AP178" i="10"/>
  <c r="AR178" i="10"/>
  <c r="AT178" i="10"/>
  <c r="AV178" i="10"/>
  <c r="AX178" i="10"/>
  <c r="AZ178" i="10"/>
  <c r="BB178" i="10"/>
  <c r="BD178" i="10"/>
  <c r="BF178" i="10"/>
  <c r="BH178" i="10"/>
  <c r="BJ178" i="10"/>
  <c r="BL178" i="10"/>
  <c r="BN178" i="10"/>
  <c r="BP178" i="10"/>
  <c r="BR178" i="10"/>
  <c r="BT178" i="10"/>
  <c r="BV178" i="10"/>
  <c r="BN180" i="10"/>
  <c r="BR180" i="10"/>
  <c r="BT180" i="10"/>
  <c r="BV180" i="10"/>
  <c r="AD182" i="10"/>
  <c r="BN182" i="10"/>
  <c r="BR182" i="10"/>
  <c r="BT182" i="10"/>
  <c r="BV182" i="10"/>
  <c r="BN185" i="10"/>
  <c r="BR185" i="10"/>
  <c r="BT185" i="10"/>
  <c r="BV185" i="10"/>
  <c r="Z186" i="10"/>
  <c r="AB186" i="10"/>
  <c r="AD186" i="10"/>
  <c r="AF186" i="10"/>
  <c r="BN186" i="10"/>
  <c r="BR186" i="10"/>
  <c r="BT186" i="10"/>
  <c r="BV186" i="10"/>
  <c r="AL187" i="10"/>
  <c r="BN187" i="10"/>
  <c r="BR187" i="10"/>
  <c r="BT187" i="10"/>
  <c r="BV187" i="10"/>
  <c r="P188" i="10"/>
  <c r="AR188" i="10"/>
  <c r="BN188" i="10"/>
  <c r="BR188" i="10"/>
  <c r="BT188" i="10"/>
  <c r="BV188" i="10"/>
  <c r="AH189" i="10"/>
  <c r="AL189" i="10"/>
  <c r="BN189" i="10"/>
  <c r="BR189" i="10"/>
  <c r="BT189" i="10"/>
  <c r="BV189" i="10"/>
  <c r="N190" i="10"/>
  <c r="P190" i="10"/>
  <c r="R190" i="10"/>
  <c r="S190" i="10"/>
  <c r="T190" i="10"/>
  <c r="U190" i="10"/>
  <c r="V190" i="10"/>
  <c r="W190" i="10"/>
  <c r="X190" i="10"/>
  <c r="Y190" i="10"/>
  <c r="Z190" i="10"/>
  <c r="AA190" i="10"/>
  <c r="AB190" i="10"/>
  <c r="AC190" i="10"/>
  <c r="AD190" i="10"/>
  <c r="AE190" i="10"/>
  <c r="AF190" i="10"/>
  <c r="AH190" i="10"/>
  <c r="AJ190" i="10"/>
  <c r="AL190" i="10"/>
  <c r="AN190" i="10"/>
  <c r="AP190" i="10"/>
  <c r="AR190" i="10"/>
  <c r="AT190" i="10"/>
  <c r="AU190" i="10"/>
  <c r="AV190" i="10"/>
  <c r="AW190" i="10"/>
  <c r="AX190" i="10"/>
  <c r="AY190" i="10"/>
  <c r="AZ190" i="10"/>
  <c r="BA190" i="10"/>
  <c r="BB190" i="10"/>
  <c r="BC190" i="10"/>
  <c r="BD190" i="10"/>
  <c r="BE190" i="10"/>
  <c r="BF190" i="10"/>
  <c r="BG190" i="10"/>
  <c r="BH190" i="10"/>
  <c r="BI190" i="10"/>
  <c r="BJ190" i="10"/>
  <c r="BK190" i="10"/>
  <c r="BL190" i="10"/>
  <c r="BM190" i="10"/>
  <c r="BN190" i="10"/>
  <c r="BO190" i="10"/>
  <c r="BP190" i="10"/>
  <c r="BQ190" i="10"/>
  <c r="BR190" i="10"/>
  <c r="BS190" i="10"/>
  <c r="BT190" i="10"/>
  <c r="BU190" i="10"/>
  <c r="BV190" i="10"/>
  <c r="BW190" i="10"/>
  <c r="P193" i="10"/>
  <c r="AH193" i="10"/>
  <c r="BN193" i="10"/>
  <c r="BR193" i="10"/>
  <c r="BT193" i="10"/>
  <c r="BV193" i="10"/>
  <c r="P194" i="10"/>
  <c r="AH194" i="10"/>
  <c r="BN194" i="10"/>
  <c r="BR194" i="10"/>
  <c r="BT194" i="10"/>
  <c r="BV194" i="10"/>
  <c r="BN195" i="10"/>
  <c r="BR195" i="10"/>
  <c r="BT195" i="10"/>
  <c r="BV195" i="10"/>
  <c r="N196" i="10"/>
  <c r="O196" i="10"/>
  <c r="P196" i="10"/>
  <c r="Q196" i="10"/>
  <c r="R196" i="10"/>
  <c r="T196" i="10"/>
  <c r="V196" i="10"/>
  <c r="X196" i="10"/>
  <c r="Z196" i="10"/>
  <c r="AB196" i="10"/>
  <c r="AD196" i="10"/>
  <c r="AF196" i="10"/>
  <c r="AH196" i="10"/>
  <c r="AJ196" i="10"/>
  <c r="AL196" i="10"/>
  <c r="AN196" i="10"/>
  <c r="AP196" i="10"/>
  <c r="AR196" i="10"/>
  <c r="AT196" i="10"/>
  <c r="AV196" i="10"/>
  <c r="AX196" i="10"/>
  <c r="AZ196" i="10"/>
  <c r="BB196" i="10"/>
  <c r="BD196" i="10"/>
  <c r="BF196" i="10"/>
  <c r="BH196" i="10"/>
  <c r="BJ196" i="10"/>
  <c r="BL196" i="10"/>
  <c r="BN196" i="10"/>
  <c r="BP196" i="10"/>
  <c r="BR196" i="10"/>
  <c r="BT196" i="10"/>
  <c r="BV196" i="10"/>
  <c r="P198" i="10"/>
  <c r="V198" i="10"/>
  <c r="Z198" i="10"/>
  <c r="AF198" i="10"/>
  <c r="AH198" i="10"/>
  <c r="AJ198" i="10"/>
  <c r="AL198" i="10"/>
  <c r="BN198" i="10"/>
  <c r="BR198" i="10"/>
  <c r="BT198" i="10"/>
  <c r="BV198" i="10"/>
  <c r="R200" i="10"/>
  <c r="S200" i="10"/>
  <c r="T200" i="10"/>
  <c r="U200" i="10"/>
  <c r="V200" i="10"/>
  <c r="W200" i="10"/>
  <c r="X200" i="10"/>
  <c r="Y200" i="10"/>
  <c r="Z200" i="10"/>
  <c r="AA200" i="10"/>
  <c r="AB200" i="10"/>
  <c r="AC200" i="10"/>
  <c r="AD200" i="10"/>
  <c r="AE200" i="10"/>
  <c r="AF200" i="10"/>
  <c r="AH200" i="10"/>
  <c r="AJ200" i="10"/>
  <c r="AL200" i="10"/>
  <c r="AN200" i="10"/>
  <c r="AP200" i="10"/>
  <c r="AR200" i="10"/>
  <c r="AT200" i="10"/>
  <c r="AU200" i="10"/>
  <c r="AV200" i="10"/>
  <c r="AW200" i="10"/>
  <c r="AX200" i="10"/>
  <c r="AY200" i="10"/>
  <c r="AZ200" i="10"/>
  <c r="BA200" i="10"/>
  <c r="BB200" i="10"/>
  <c r="BC200" i="10"/>
  <c r="BD200" i="10"/>
  <c r="BE200" i="10"/>
  <c r="BF200" i="10"/>
  <c r="BG200" i="10"/>
  <c r="BH200" i="10"/>
  <c r="BI200" i="10"/>
  <c r="BJ200" i="10"/>
  <c r="BK200" i="10"/>
  <c r="BL200" i="10"/>
  <c r="BM200" i="10"/>
  <c r="BN200" i="10"/>
  <c r="BO200" i="10"/>
  <c r="BP200" i="10"/>
  <c r="BQ200" i="10"/>
  <c r="BR200" i="10"/>
  <c r="BS200" i="10"/>
  <c r="BT200" i="10"/>
  <c r="BU200" i="10"/>
  <c r="BV200" i="10"/>
  <c r="BW200" i="10"/>
  <c r="P202" i="10"/>
  <c r="BN202" i="10"/>
  <c r="BR202" i="10"/>
  <c r="BT202" i="10"/>
  <c r="BV202" i="10"/>
  <c r="R205" i="10"/>
  <c r="S205" i="10"/>
  <c r="T205" i="10"/>
  <c r="U205" i="10"/>
  <c r="V205" i="10"/>
  <c r="W205" i="10"/>
  <c r="X205" i="10"/>
  <c r="Y205" i="10"/>
  <c r="Z205" i="10"/>
  <c r="AA205" i="10"/>
  <c r="AB205" i="10"/>
  <c r="AC205" i="10"/>
  <c r="AD205" i="10"/>
  <c r="AE205" i="10"/>
  <c r="AF205" i="10"/>
  <c r="AH205" i="10"/>
  <c r="AJ205" i="10"/>
  <c r="AL205" i="10"/>
  <c r="AN205" i="10"/>
  <c r="AP205" i="10"/>
  <c r="AR205" i="10"/>
  <c r="AT205" i="10"/>
  <c r="AU205" i="10"/>
  <c r="AV205" i="10"/>
  <c r="AW205" i="10"/>
  <c r="AX205" i="10"/>
  <c r="AY205" i="10"/>
  <c r="AZ205" i="10"/>
  <c r="BA205" i="10"/>
  <c r="BB205" i="10"/>
  <c r="BC205" i="10"/>
  <c r="BD205" i="10"/>
  <c r="BE205" i="10"/>
  <c r="BF205" i="10"/>
  <c r="BG205" i="10"/>
  <c r="BH205" i="10"/>
  <c r="BI205" i="10"/>
  <c r="BJ205" i="10"/>
  <c r="BK205" i="10"/>
  <c r="BL205" i="10"/>
  <c r="BM205" i="10"/>
  <c r="BN205" i="10"/>
  <c r="BO205" i="10"/>
  <c r="BP205" i="10"/>
  <c r="BQ205" i="10"/>
  <c r="BR205" i="10"/>
  <c r="BS205" i="10"/>
  <c r="BT205" i="10"/>
  <c r="BU205" i="10"/>
  <c r="BV205" i="10"/>
  <c r="BT206" i="10"/>
  <c r="P208" i="10"/>
  <c r="BN208" i="10"/>
  <c r="BT208" i="10"/>
  <c r="BV208" i="10"/>
  <c r="BN210" i="10"/>
  <c r="BR210" i="10"/>
  <c r="BT210" i="10"/>
  <c r="BV210" i="10"/>
  <c r="BN212" i="10"/>
  <c r="BT212" i="10"/>
  <c r="AD214" i="10"/>
  <c r="AH214" i="10"/>
  <c r="AP214" i="10"/>
  <c r="AR214" i="10"/>
  <c r="BN214" i="10"/>
  <c r="BT214" i="10"/>
  <c r="BV214" i="10"/>
  <c r="R216" i="10"/>
  <c r="S216" i="10"/>
  <c r="T216" i="10"/>
  <c r="U216" i="10"/>
  <c r="V216" i="10"/>
  <c r="W216" i="10"/>
  <c r="X216" i="10"/>
  <c r="Y216" i="10"/>
  <c r="Z216" i="10"/>
  <c r="AA216" i="10"/>
  <c r="AB216" i="10"/>
  <c r="AC216" i="10"/>
  <c r="AD216" i="10"/>
  <c r="AE216" i="10"/>
  <c r="AF216" i="10"/>
  <c r="AH216" i="10"/>
  <c r="AJ216" i="10"/>
  <c r="AL216" i="10"/>
  <c r="AN216" i="10"/>
  <c r="AP216" i="10"/>
  <c r="AR216" i="10"/>
  <c r="AT216" i="10"/>
  <c r="AU216" i="10"/>
  <c r="AV216" i="10"/>
  <c r="AW216" i="10"/>
  <c r="AX216" i="10"/>
  <c r="AY216" i="10"/>
  <c r="AZ216" i="10"/>
  <c r="BA216" i="10"/>
  <c r="BB216" i="10"/>
  <c r="BC216" i="10"/>
  <c r="BD216" i="10"/>
  <c r="BE216" i="10"/>
  <c r="BF216" i="10"/>
  <c r="BG216" i="10"/>
  <c r="BH216" i="10"/>
  <c r="BI216" i="10"/>
  <c r="BJ216" i="10"/>
  <c r="BK216" i="10"/>
  <c r="BL216" i="10"/>
  <c r="BM216" i="10"/>
  <c r="BN216" i="10"/>
  <c r="BO216" i="10"/>
  <c r="BP216" i="10"/>
  <c r="BQ216" i="10"/>
  <c r="BR216" i="10"/>
  <c r="BS216" i="10"/>
  <c r="BT216" i="10"/>
  <c r="BU216" i="10"/>
  <c r="BV216" i="10"/>
  <c r="BW216" i="10"/>
  <c r="G6" i="6"/>
  <c r="G7" i="6"/>
  <c r="G8" i="6"/>
  <c r="G10" i="6"/>
  <c r="G12" i="6"/>
  <c r="C14" i="6"/>
  <c r="E14" i="6"/>
  <c r="G14" i="6"/>
  <c r="A1" i="15"/>
  <c r="A2" i="15"/>
  <c r="BX2" i="15"/>
  <c r="BT3" i="15"/>
  <c r="BX3" i="15"/>
  <c r="B4" i="15"/>
  <c r="A5" i="15"/>
  <c r="N7" i="15"/>
  <c r="R7" i="15"/>
  <c r="T7" i="15"/>
  <c r="V7" i="15"/>
  <c r="X7" i="15"/>
  <c r="Z7" i="15"/>
  <c r="AB7" i="15"/>
  <c r="AD7" i="15"/>
  <c r="AF7" i="15"/>
  <c r="AH7" i="15"/>
  <c r="AJ7" i="15"/>
  <c r="AL7" i="15"/>
  <c r="AN7" i="15"/>
  <c r="AP7" i="15"/>
  <c r="AR7" i="15"/>
  <c r="AT7" i="15"/>
  <c r="AV7" i="15"/>
  <c r="AX7" i="15"/>
  <c r="AZ7" i="15"/>
  <c r="BB7" i="15"/>
  <c r="BD7" i="15"/>
  <c r="BF7" i="15"/>
  <c r="BH7" i="15"/>
  <c r="BJ7" i="15"/>
  <c r="BL7" i="15"/>
  <c r="BN7" i="15"/>
  <c r="BP7" i="15"/>
  <c r="BR7" i="15"/>
  <c r="BF9" i="15"/>
  <c r="BP9" i="15"/>
  <c r="BR9" i="15"/>
  <c r="BT9" i="15"/>
  <c r="BV9" i="15"/>
  <c r="BX9" i="15"/>
  <c r="BP10" i="15"/>
  <c r="BR10" i="15"/>
  <c r="BT10" i="15"/>
  <c r="BV10" i="15"/>
  <c r="BX10" i="15"/>
  <c r="R11" i="15"/>
  <c r="BP11" i="15"/>
  <c r="BT11" i="15"/>
  <c r="BV11" i="15"/>
  <c r="BX11" i="15"/>
  <c r="R12" i="15"/>
  <c r="BP12" i="15"/>
  <c r="BT12" i="15"/>
  <c r="BV12" i="15"/>
  <c r="BX12" i="15"/>
  <c r="R13" i="15"/>
  <c r="BP13" i="15"/>
  <c r="BT13" i="15"/>
  <c r="BV13" i="15"/>
  <c r="BX13" i="15"/>
  <c r="BF14" i="15"/>
  <c r="BP14" i="15"/>
  <c r="BR14" i="15"/>
  <c r="BT14" i="15"/>
  <c r="BV14" i="15"/>
  <c r="BX14" i="15"/>
  <c r="BT15" i="15"/>
  <c r="BX15" i="15"/>
  <c r="N16" i="15"/>
  <c r="P16" i="15"/>
  <c r="R16" i="15"/>
  <c r="T16" i="15"/>
  <c r="V16" i="15"/>
  <c r="X16" i="15"/>
  <c r="Z16" i="15"/>
  <c r="AB16" i="15"/>
  <c r="AD16" i="15"/>
  <c r="AF16" i="15"/>
  <c r="AH16" i="15"/>
  <c r="AJ16" i="15"/>
  <c r="AL16" i="15"/>
  <c r="AN16" i="15"/>
  <c r="AP16" i="15"/>
  <c r="AR16" i="15"/>
  <c r="AT16" i="15"/>
  <c r="AV16" i="15"/>
  <c r="AX16" i="15"/>
  <c r="AZ16" i="15"/>
  <c r="BB16" i="15"/>
  <c r="BD16" i="15"/>
  <c r="BF16" i="15"/>
  <c r="BH16" i="15"/>
  <c r="BJ16" i="15"/>
  <c r="BL16" i="15"/>
  <c r="BN16" i="15"/>
  <c r="BP16" i="15"/>
  <c r="BR16" i="15"/>
  <c r="BT16" i="15"/>
  <c r="BV16" i="15"/>
  <c r="BX16" i="15"/>
  <c r="R18" i="15"/>
  <c r="BP18" i="15"/>
  <c r="BT18" i="15"/>
  <c r="BV18" i="15"/>
  <c r="BX18" i="15"/>
  <c r="AV19" i="15"/>
  <c r="AZ19" i="15"/>
  <c r="BP19" i="15"/>
  <c r="BR19" i="15"/>
  <c r="BT19" i="15"/>
  <c r="BV19" i="15"/>
  <c r="BX19" i="15"/>
  <c r="BP20" i="15"/>
  <c r="BT20" i="15"/>
  <c r="BV20" i="15"/>
  <c r="BX20" i="15"/>
  <c r="BP21" i="15"/>
  <c r="BT21" i="15"/>
  <c r="BV21" i="15"/>
  <c r="BX21" i="15"/>
  <c r="BP22" i="15"/>
  <c r="BT22" i="15"/>
  <c r="BV22" i="15"/>
  <c r="BX22" i="15"/>
  <c r="BP23" i="15"/>
  <c r="BT23" i="15"/>
  <c r="BV23" i="15"/>
  <c r="BX23" i="15"/>
  <c r="BP24" i="15"/>
  <c r="BT24" i="15"/>
  <c r="BV24" i="15"/>
  <c r="BX24" i="15"/>
  <c r="R25" i="15"/>
  <c r="BP25" i="15"/>
  <c r="BT25" i="15"/>
  <c r="BV25" i="15"/>
  <c r="BX25" i="15"/>
  <c r="R26" i="15"/>
  <c r="BP26" i="15"/>
  <c r="BT26" i="15"/>
  <c r="BV26" i="15"/>
  <c r="BX26" i="15"/>
  <c r="R27" i="15"/>
  <c r="BP27" i="15"/>
  <c r="BT27" i="15"/>
  <c r="BV27" i="15"/>
  <c r="BX27" i="15"/>
  <c r="R28" i="15"/>
  <c r="BP28" i="15"/>
  <c r="BT28" i="15"/>
  <c r="BV28" i="15"/>
  <c r="BX28" i="15"/>
  <c r="R29" i="15"/>
  <c r="BP29" i="15"/>
  <c r="BT29" i="15"/>
  <c r="BV29" i="15"/>
  <c r="BX29" i="15"/>
  <c r="R30" i="15"/>
  <c r="BP30" i="15"/>
  <c r="BT30" i="15"/>
  <c r="BV30" i="15"/>
  <c r="BX30" i="15"/>
  <c r="R31" i="15"/>
  <c r="BP31" i="15"/>
  <c r="BT31" i="15"/>
  <c r="BV31" i="15"/>
  <c r="BX31" i="15"/>
  <c r="R32" i="15"/>
  <c r="BP32" i="15"/>
  <c r="BT32" i="15"/>
  <c r="BV32" i="15"/>
  <c r="BX32" i="15"/>
  <c r="BP33" i="15"/>
  <c r="BT33" i="15"/>
  <c r="BV33" i="15"/>
  <c r="BX33" i="15"/>
  <c r="BT34" i="15"/>
  <c r="BV34" i="15"/>
  <c r="BX34" i="15"/>
  <c r="N35" i="15"/>
  <c r="P35" i="15"/>
  <c r="R35" i="15"/>
  <c r="T35" i="15"/>
  <c r="V35" i="15"/>
  <c r="X35" i="15"/>
  <c r="Z35" i="15"/>
  <c r="AB35" i="15"/>
  <c r="AD35" i="15"/>
  <c r="AF35" i="15"/>
  <c r="AH35" i="15"/>
  <c r="AJ35" i="15"/>
  <c r="AL35" i="15"/>
  <c r="AN35" i="15"/>
  <c r="AP35" i="15"/>
  <c r="AR35" i="15"/>
  <c r="AT35" i="15"/>
  <c r="AV35" i="15"/>
  <c r="AX35" i="15"/>
  <c r="AZ35" i="15"/>
  <c r="BB35" i="15"/>
  <c r="BD35" i="15"/>
  <c r="BF35" i="15"/>
  <c r="BH35" i="15"/>
  <c r="BJ35" i="15"/>
  <c r="BL35" i="15"/>
  <c r="BN35" i="15"/>
  <c r="BP35" i="15"/>
  <c r="BR35" i="15"/>
  <c r="BT35" i="15"/>
  <c r="BV35" i="15"/>
  <c r="BX35" i="15"/>
  <c r="N37" i="15"/>
  <c r="P37" i="15"/>
  <c r="R37" i="15"/>
  <c r="T37" i="15"/>
  <c r="V37" i="15"/>
  <c r="X37" i="15"/>
  <c r="Z37" i="15"/>
  <c r="AB37" i="15"/>
  <c r="AD37" i="15"/>
  <c r="AF37" i="15"/>
  <c r="AH37" i="15"/>
  <c r="AJ37" i="15"/>
  <c r="AL37" i="15"/>
  <c r="AN37" i="15"/>
  <c r="AP37" i="15"/>
  <c r="AR37" i="15"/>
  <c r="AT37" i="15"/>
  <c r="AV37" i="15"/>
  <c r="AX37" i="15"/>
  <c r="AZ37" i="15"/>
  <c r="BB37" i="15"/>
  <c r="BD37" i="15"/>
  <c r="BF37" i="15"/>
  <c r="BH37" i="15"/>
  <c r="BJ37" i="15"/>
  <c r="BL37" i="15"/>
  <c r="BN37" i="15"/>
  <c r="BP37" i="15"/>
  <c r="BR37" i="15"/>
  <c r="BT37" i="15"/>
  <c r="BV37" i="15"/>
  <c r="BX37" i="15"/>
  <c r="AV43" i="15"/>
  <c r="AZ43" i="15"/>
  <c r="BH43" i="15"/>
  <c r="BP43" i="15"/>
  <c r="BR43" i="15"/>
  <c r="BT43" i="15"/>
  <c r="BV43" i="15"/>
  <c r="BX43" i="15"/>
  <c r="AR44" i="15"/>
  <c r="AV44" i="15"/>
  <c r="AZ44" i="15"/>
  <c r="BH44" i="15"/>
  <c r="BP44" i="15"/>
  <c r="BR44" i="15"/>
  <c r="BT44" i="15"/>
  <c r="BV44" i="15"/>
  <c r="BX44" i="15"/>
  <c r="AR45" i="15"/>
  <c r="AV45" i="15"/>
  <c r="AZ45" i="15"/>
  <c r="BH45" i="15"/>
  <c r="BP45" i="15"/>
  <c r="BR45" i="15"/>
  <c r="BT45" i="15"/>
  <c r="BV45" i="15"/>
  <c r="BX45" i="15"/>
  <c r="AV46" i="15"/>
  <c r="AZ46" i="15"/>
  <c r="BH46" i="15"/>
  <c r="BP46" i="15"/>
  <c r="BR46" i="15"/>
  <c r="BT46" i="15"/>
  <c r="BV46" i="15"/>
  <c r="BX46" i="15"/>
  <c r="AV47" i="15"/>
  <c r="AZ47" i="15"/>
  <c r="BH47" i="15"/>
  <c r="BP47" i="15"/>
  <c r="BT47" i="15"/>
  <c r="BV47" i="15"/>
  <c r="BX47" i="15"/>
  <c r="BP48" i="15"/>
  <c r="BT48" i="15"/>
  <c r="BV48" i="15"/>
  <c r="BX48" i="15"/>
  <c r="BP49" i="15"/>
  <c r="BT49" i="15"/>
  <c r="BV49" i="15"/>
  <c r="BX49" i="15"/>
  <c r="BP50" i="15"/>
  <c r="BT50" i="15"/>
  <c r="BV50" i="15"/>
  <c r="BX50" i="15"/>
  <c r="AZ51" i="15"/>
  <c r="BH51" i="15"/>
  <c r="BP51" i="15"/>
  <c r="BT51" i="15"/>
  <c r="BV51" i="15"/>
  <c r="BX51" i="15"/>
  <c r="AZ52" i="15"/>
  <c r="BP52" i="15"/>
  <c r="BT52" i="15"/>
  <c r="BV52" i="15"/>
  <c r="BX52" i="15"/>
  <c r="BP53" i="15"/>
  <c r="BT53" i="15"/>
  <c r="BV53" i="15"/>
  <c r="BX53" i="15"/>
  <c r="R54" i="15"/>
  <c r="S54" i="15"/>
  <c r="T54" i="15"/>
  <c r="U54" i="15"/>
  <c r="V54" i="15"/>
  <c r="W54" i="15"/>
  <c r="X54" i="15"/>
  <c r="Y54" i="15"/>
  <c r="Z54" i="15"/>
  <c r="AA54" i="15"/>
  <c r="AB54" i="15"/>
  <c r="AC54" i="15"/>
  <c r="AD54" i="15"/>
  <c r="AE54" i="15"/>
  <c r="AF54" i="15"/>
  <c r="AG54" i="15"/>
  <c r="AH54" i="15"/>
  <c r="AJ54" i="15"/>
  <c r="AL54" i="15"/>
  <c r="AN54" i="15"/>
  <c r="AP54" i="15"/>
  <c r="AR54" i="15"/>
  <c r="AS54" i="15"/>
  <c r="AT54" i="15"/>
  <c r="AU54" i="15"/>
  <c r="AV54" i="15"/>
  <c r="AW54" i="15"/>
  <c r="AX54" i="15"/>
  <c r="AY54" i="15"/>
  <c r="AZ54" i="15"/>
  <c r="BA54" i="15"/>
  <c r="BB54" i="15"/>
  <c r="BD54" i="15"/>
  <c r="BF54" i="15"/>
  <c r="BG54" i="15"/>
  <c r="BH54" i="15"/>
  <c r="BI54" i="15"/>
  <c r="BJ54" i="15"/>
  <c r="BK54" i="15"/>
  <c r="BL54" i="15"/>
  <c r="BM54" i="15"/>
  <c r="BN54" i="15"/>
  <c r="BO54" i="15"/>
  <c r="BP54" i="15"/>
  <c r="BQ54" i="15"/>
  <c r="BR54" i="15"/>
  <c r="BS54" i="15"/>
  <c r="BT54" i="15"/>
  <c r="BU54" i="15"/>
  <c r="BV54" i="15"/>
  <c r="BX54" i="15"/>
  <c r="AZ57" i="15"/>
  <c r="BH57" i="15"/>
  <c r="BP57" i="15"/>
  <c r="BT57" i="15"/>
  <c r="BV57" i="15"/>
  <c r="BX57" i="15"/>
  <c r="AZ58" i="15"/>
  <c r="BH58" i="15"/>
  <c r="BP58" i="15"/>
  <c r="BR58" i="15"/>
  <c r="BT58" i="15"/>
  <c r="BV58" i="15"/>
  <c r="BX58" i="15"/>
  <c r="BH59" i="15"/>
  <c r="BP59" i="15"/>
  <c r="BT59" i="15"/>
  <c r="BV59" i="15"/>
  <c r="BX59" i="15"/>
  <c r="BH60" i="15"/>
  <c r="BP60" i="15"/>
  <c r="BR60" i="15"/>
  <c r="BT60" i="15"/>
  <c r="BV60" i="15"/>
  <c r="BX60" i="15"/>
  <c r="BH61" i="15"/>
  <c r="BP61" i="15"/>
  <c r="BT61" i="15"/>
  <c r="BV61" i="15"/>
  <c r="BX61" i="15"/>
  <c r="R63" i="15"/>
  <c r="S63" i="15"/>
  <c r="T63" i="15"/>
  <c r="U63" i="15"/>
  <c r="V63" i="15"/>
  <c r="W63" i="15"/>
  <c r="X63" i="15"/>
  <c r="Y63" i="15"/>
  <c r="Z63" i="15"/>
  <c r="AA63" i="15"/>
  <c r="AB63" i="15"/>
  <c r="AC63" i="15"/>
  <c r="AD63" i="15"/>
  <c r="AE63" i="15"/>
  <c r="AF63" i="15"/>
  <c r="AG63" i="15"/>
  <c r="AH63" i="15"/>
  <c r="AJ63" i="15"/>
  <c r="AL63" i="15"/>
  <c r="AN63" i="15"/>
  <c r="AP63" i="15"/>
  <c r="AR63" i="15"/>
  <c r="AS63" i="15"/>
  <c r="AT63" i="15"/>
  <c r="AU63" i="15"/>
  <c r="AV63" i="15"/>
  <c r="AW63" i="15"/>
  <c r="AX63" i="15"/>
  <c r="AY63" i="15"/>
  <c r="AZ63" i="15"/>
  <c r="BA63" i="15"/>
  <c r="BB63" i="15"/>
  <c r="BD63" i="15"/>
  <c r="BF63" i="15"/>
  <c r="BG63" i="15"/>
  <c r="BH63" i="15"/>
  <c r="BI63" i="15"/>
  <c r="BJ63" i="15"/>
  <c r="BK63" i="15"/>
  <c r="BL63" i="15"/>
  <c r="BM63" i="15"/>
  <c r="BN63" i="15"/>
  <c r="BO63" i="15"/>
  <c r="BP63" i="15"/>
  <c r="BQ63" i="15"/>
  <c r="BR63" i="15"/>
  <c r="BS63" i="15"/>
  <c r="BT63" i="15"/>
  <c r="BU63" i="15"/>
  <c r="BV63" i="15"/>
  <c r="BX63" i="15"/>
  <c r="R66" i="15"/>
  <c r="AV66" i="15"/>
  <c r="AZ66" i="15"/>
  <c r="BH66" i="15"/>
  <c r="BP66" i="15"/>
  <c r="BT66" i="15"/>
  <c r="BV66" i="15"/>
  <c r="BX66" i="15"/>
  <c r="AV67" i="15"/>
  <c r="AZ67" i="15"/>
  <c r="BH67" i="15"/>
  <c r="BP67" i="15"/>
  <c r="BR67" i="15"/>
  <c r="BT67" i="15"/>
  <c r="BV67" i="15"/>
  <c r="BX67" i="15"/>
  <c r="AZ68" i="15"/>
  <c r="BH68" i="15"/>
  <c r="BP68" i="15"/>
  <c r="BT68" i="15"/>
  <c r="BV68" i="15"/>
  <c r="BX68" i="15"/>
  <c r="BH69" i="15"/>
  <c r="BP69" i="15"/>
  <c r="BR69" i="15"/>
  <c r="BT69" i="15"/>
  <c r="BV69" i="15"/>
  <c r="BX69" i="15"/>
  <c r="AZ70" i="15"/>
  <c r="BH70" i="15"/>
  <c r="BP70" i="15"/>
  <c r="BT70" i="15"/>
  <c r="BV70" i="15"/>
  <c r="BX70" i="15"/>
  <c r="AV71" i="15"/>
  <c r="AZ71" i="15"/>
  <c r="BH71" i="15"/>
  <c r="BP71" i="15"/>
  <c r="BR71" i="15"/>
  <c r="BT71" i="15"/>
  <c r="BV71" i="15"/>
  <c r="BX71" i="15"/>
  <c r="AZ72" i="15"/>
  <c r="BH72" i="15"/>
  <c r="BP72" i="15"/>
  <c r="BT72" i="15"/>
  <c r="BV72" i="15"/>
  <c r="BX72" i="15"/>
  <c r="BH73" i="15"/>
  <c r="BP73" i="15"/>
  <c r="BR73" i="15"/>
  <c r="BT73" i="15"/>
  <c r="BV73" i="15"/>
  <c r="BX73" i="15"/>
  <c r="AZ74" i="15"/>
  <c r="BH74" i="15"/>
  <c r="BP74" i="15"/>
  <c r="BT74" i="15"/>
  <c r="BV74" i="15"/>
  <c r="BX74" i="15"/>
  <c r="AZ75" i="15"/>
  <c r="BH75" i="15"/>
  <c r="BP75" i="15"/>
  <c r="BR75" i="15"/>
  <c r="BT75" i="15"/>
  <c r="BV75" i="15"/>
  <c r="BX75" i="15"/>
  <c r="BP76" i="15"/>
  <c r="BT76" i="15"/>
  <c r="BV76" i="15"/>
  <c r="BX76" i="15"/>
  <c r="BH77" i="15"/>
  <c r="BP77" i="15"/>
  <c r="BR77" i="15"/>
  <c r="BT77" i="15"/>
  <c r="BV77" i="15"/>
  <c r="BX77" i="15"/>
  <c r="AZ78" i="15"/>
  <c r="BH78" i="15"/>
  <c r="BP78" i="15"/>
  <c r="BT78" i="15"/>
  <c r="BV78" i="15"/>
  <c r="BX78" i="15"/>
  <c r="AZ79" i="15"/>
  <c r="BH79" i="15"/>
  <c r="BP79" i="15"/>
  <c r="BR79" i="15"/>
  <c r="BT79" i="15"/>
  <c r="BV79" i="15"/>
  <c r="BX79" i="15"/>
  <c r="BH80" i="15"/>
  <c r="BP80" i="15"/>
  <c r="BR80" i="15"/>
  <c r="BT80" i="15"/>
  <c r="BV80" i="15"/>
  <c r="BX80" i="15"/>
  <c r="BP81" i="15"/>
  <c r="BR81" i="15"/>
  <c r="BT81" i="15"/>
  <c r="BV81" i="15"/>
  <c r="BX81" i="15"/>
  <c r="R82" i="15"/>
  <c r="BH82" i="15"/>
  <c r="BP82" i="15"/>
  <c r="BT82" i="15"/>
  <c r="BV82" i="15"/>
  <c r="BX82" i="15"/>
  <c r="AZ83" i="15"/>
  <c r="BH83" i="15"/>
  <c r="BP83" i="15"/>
  <c r="BR83" i="15"/>
  <c r="BT83" i="15"/>
  <c r="BV83" i="15"/>
  <c r="BX83" i="15"/>
  <c r="BH84" i="15"/>
  <c r="BP84" i="15"/>
  <c r="BR84" i="15"/>
  <c r="BT84" i="15"/>
  <c r="BV84" i="15"/>
  <c r="BX84" i="15"/>
  <c r="BT85" i="15"/>
  <c r="BV85" i="15"/>
  <c r="BX85" i="15"/>
  <c r="R86" i="15"/>
  <c r="S86" i="15"/>
  <c r="T86" i="15"/>
  <c r="U86" i="15"/>
  <c r="V86" i="15"/>
  <c r="W86" i="15"/>
  <c r="X86" i="15"/>
  <c r="Y86" i="15"/>
  <c r="Z86" i="15"/>
  <c r="AA86" i="15"/>
  <c r="AB86" i="15"/>
  <c r="AC86" i="15"/>
  <c r="AD86" i="15"/>
  <c r="AE86" i="15"/>
  <c r="AF86" i="15"/>
  <c r="AG86" i="15"/>
  <c r="AH86" i="15"/>
  <c r="AJ86" i="15"/>
  <c r="AL86" i="15"/>
  <c r="AN86" i="15"/>
  <c r="AP86" i="15"/>
  <c r="AR86" i="15"/>
  <c r="AS86" i="15"/>
  <c r="AT86" i="15"/>
  <c r="AU86" i="15"/>
  <c r="AV86" i="15"/>
  <c r="AW86" i="15"/>
  <c r="AX86" i="15"/>
  <c r="AY86" i="15"/>
  <c r="AZ86" i="15"/>
  <c r="BA86" i="15"/>
  <c r="BB86" i="15"/>
  <c r="BD86" i="15"/>
  <c r="BF86" i="15"/>
  <c r="BG86" i="15"/>
  <c r="BH86" i="15"/>
  <c r="BI86" i="15"/>
  <c r="BJ86" i="15"/>
  <c r="BK86" i="15"/>
  <c r="BL86" i="15"/>
  <c r="BM86" i="15"/>
  <c r="BN86" i="15"/>
  <c r="BO86" i="15"/>
  <c r="BP86" i="15"/>
  <c r="BQ86" i="15"/>
  <c r="BR86" i="15"/>
  <c r="BS86" i="15"/>
  <c r="BT86" i="15"/>
  <c r="BU86" i="15"/>
  <c r="BV86" i="15"/>
  <c r="BW86" i="15"/>
  <c r="BX86" i="15"/>
  <c r="AZ89" i="15"/>
  <c r="BH89" i="15"/>
  <c r="BP89" i="15"/>
  <c r="BR89" i="15"/>
  <c r="BT89" i="15"/>
  <c r="BV89" i="15"/>
  <c r="BX89" i="15"/>
  <c r="R91" i="15"/>
  <c r="S91" i="15"/>
  <c r="T91" i="15"/>
  <c r="U91" i="15"/>
  <c r="V91" i="15"/>
  <c r="W91" i="15"/>
  <c r="X91" i="15"/>
  <c r="Y91" i="15"/>
  <c r="Z91" i="15"/>
  <c r="AA91" i="15"/>
  <c r="AB91" i="15"/>
  <c r="AC91" i="15"/>
  <c r="AD91" i="15"/>
  <c r="AE91" i="15"/>
  <c r="AF91" i="15"/>
  <c r="AG91" i="15"/>
  <c r="AH91" i="15"/>
  <c r="AJ91" i="15"/>
  <c r="AL91" i="15"/>
  <c r="AN91" i="15"/>
  <c r="AP91" i="15"/>
  <c r="AR91" i="15"/>
  <c r="AS91" i="15"/>
  <c r="AT91" i="15"/>
  <c r="AU91" i="15"/>
  <c r="AV91" i="15"/>
  <c r="AW91" i="15"/>
  <c r="AX91" i="15"/>
  <c r="AY91" i="15"/>
  <c r="AZ91" i="15"/>
  <c r="BA91" i="15"/>
  <c r="BB91" i="15"/>
  <c r="BD91" i="15"/>
  <c r="BF91" i="15"/>
  <c r="BG91" i="15"/>
  <c r="BH91" i="15"/>
  <c r="BI91" i="15"/>
  <c r="BJ91" i="15"/>
  <c r="BK91" i="15"/>
  <c r="BL91" i="15"/>
  <c r="BM91" i="15"/>
  <c r="BN91" i="15"/>
  <c r="BO91" i="15"/>
  <c r="BP91" i="15"/>
  <c r="BQ91" i="15"/>
  <c r="BR91" i="15"/>
  <c r="BS91" i="15"/>
  <c r="BT91" i="15"/>
  <c r="BU91" i="15"/>
  <c r="BV91" i="15"/>
  <c r="BX91" i="15"/>
  <c r="BP93" i="15"/>
  <c r="BX93" i="15"/>
  <c r="AR95" i="15"/>
  <c r="AV95" i="15"/>
  <c r="BF95" i="15"/>
  <c r="BH95" i="15"/>
  <c r="BP95" i="15"/>
  <c r="BR95" i="15"/>
  <c r="BV95" i="15"/>
  <c r="BX95" i="15"/>
  <c r="N97" i="15"/>
  <c r="P97" i="15"/>
  <c r="R97" i="15"/>
  <c r="S97" i="15"/>
  <c r="T97" i="15"/>
  <c r="U97" i="15"/>
  <c r="V97" i="15"/>
  <c r="W97" i="15"/>
  <c r="X97" i="15"/>
  <c r="Y97" i="15"/>
  <c r="Z97" i="15"/>
  <c r="AA97" i="15"/>
  <c r="AB97" i="15"/>
  <c r="AC97" i="15"/>
  <c r="AD97" i="15"/>
  <c r="AE97" i="15"/>
  <c r="AF97" i="15"/>
  <c r="AG97" i="15"/>
  <c r="AH97" i="15"/>
  <c r="AJ97" i="15"/>
  <c r="AL97" i="15"/>
  <c r="AN97" i="15"/>
  <c r="AP97" i="15"/>
  <c r="AR97" i="15"/>
  <c r="AS97" i="15"/>
  <c r="AT97" i="15"/>
  <c r="AU97" i="15"/>
  <c r="AV97" i="15"/>
  <c r="AW97" i="15"/>
  <c r="AX97" i="15"/>
  <c r="AY97" i="15"/>
  <c r="AZ97" i="15"/>
  <c r="BA97" i="15"/>
  <c r="BB97" i="15"/>
  <c r="BC97" i="15"/>
  <c r="BD97" i="15"/>
  <c r="BE97" i="15"/>
  <c r="BF97" i="15"/>
  <c r="BG97" i="15"/>
  <c r="BH97" i="15"/>
  <c r="BI97" i="15"/>
  <c r="BJ97" i="15"/>
  <c r="BK97" i="15"/>
  <c r="BL97" i="15"/>
  <c r="BM97" i="15"/>
  <c r="BN97" i="15"/>
  <c r="BO97" i="15"/>
  <c r="BP97" i="15"/>
  <c r="BQ97" i="15"/>
  <c r="BR97" i="15"/>
  <c r="BS97" i="15"/>
  <c r="BT97" i="15"/>
  <c r="BU97" i="15"/>
  <c r="BV97" i="15"/>
  <c r="BW97" i="15"/>
  <c r="BX97" i="15"/>
  <c r="BY97" i="15"/>
  <c r="BH98" i="15"/>
  <c r="BP98" i="15"/>
  <c r="BV98" i="15"/>
  <c r="BP100" i="15"/>
  <c r="BT100" i="15"/>
  <c r="BV100" i="15"/>
  <c r="BX100" i="15"/>
  <c r="BP101" i="15"/>
  <c r="BT101" i="15"/>
  <c r="BV101" i="15"/>
  <c r="BX101" i="15"/>
  <c r="BP102" i="15"/>
  <c r="BT102" i="15"/>
  <c r="BV102" i="15"/>
  <c r="BX102" i="15"/>
  <c r="R103" i="15"/>
  <c r="BP103" i="15"/>
  <c r="BT103" i="15"/>
  <c r="BV103" i="15"/>
  <c r="BX103" i="15"/>
  <c r="R104" i="15"/>
  <c r="BP104" i="15"/>
  <c r="BT104" i="15"/>
  <c r="BV104" i="15"/>
  <c r="BX104" i="15"/>
  <c r="R105" i="15"/>
  <c r="BP105" i="15"/>
  <c r="BV105" i="15"/>
  <c r="BX105" i="15"/>
  <c r="BT106" i="15"/>
  <c r="N107" i="15"/>
  <c r="P107" i="15"/>
  <c r="R107" i="15"/>
  <c r="T107" i="15"/>
  <c r="V107" i="15"/>
  <c r="X107" i="15"/>
  <c r="Z107" i="15"/>
  <c r="AB107" i="15"/>
  <c r="AD107" i="15"/>
  <c r="AF107" i="15"/>
  <c r="AH107" i="15"/>
  <c r="AJ107" i="15"/>
  <c r="AL107" i="15"/>
  <c r="AN107" i="15"/>
  <c r="AP107" i="15"/>
  <c r="AR107" i="15"/>
  <c r="AT107" i="15"/>
  <c r="AV107" i="15"/>
  <c r="AX107" i="15"/>
  <c r="AZ107" i="15"/>
  <c r="BB107" i="15"/>
  <c r="BD107" i="15"/>
  <c r="BF107" i="15"/>
  <c r="BH107" i="15"/>
  <c r="BJ107" i="15"/>
  <c r="BL107" i="15"/>
  <c r="BN107" i="15"/>
  <c r="BP107" i="15"/>
  <c r="BR107" i="15"/>
  <c r="BT107" i="15"/>
  <c r="BV107" i="15"/>
  <c r="BX107" i="15"/>
  <c r="R110" i="15"/>
  <c r="BP110" i="15"/>
  <c r="BT110" i="15"/>
  <c r="BV110" i="15"/>
  <c r="BX110" i="15"/>
  <c r="N112" i="15"/>
  <c r="P112" i="15"/>
  <c r="R112" i="15"/>
  <c r="T112" i="15"/>
  <c r="V112" i="15"/>
  <c r="X112" i="15"/>
  <c r="Z112" i="15"/>
  <c r="AB112" i="15"/>
  <c r="AD112" i="15"/>
  <c r="AF112" i="15"/>
  <c r="AH112" i="15"/>
  <c r="AJ112" i="15"/>
  <c r="AL112" i="15"/>
  <c r="AN112" i="15"/>
  <c r="AP112" i="15"/>
  <c r="AR112" i="15"/>
  <c r="AT112" i="15"/>
  <c r="AV112" i="15"/>
  <c r="AX112" i="15"/>
  <c r="AZ112" i="15"/>
  <c r="BB112" i="15"/>
  <c r="BD112" i="15"/>
  <c r="BF112" i="15"/>
  <c r="BH112" i="15"/>
  <c r="BJ112" i="15"/>
  <c r="BL112" i="15"/>
  <c r="BN112" i="15"/>
  <c r="BP112" i="15"/>
  <c r="BR112" i="15"/>
  <c r="BT112" i="15"/>
  <c r="BV112" i="15"/>
  <c r="BX112" i="15"/>
  <c r="R116" i="15"/>
  <c r="BP116" i="15"/>
  <c r="BT116" i="15"/>
  <c r="BV116" i="15"/>
  <c r="BX116" i="15"/>
  <c r="R117" i="15"/>
  <c r="BP117" i="15"/>
  <c r="BT117" i="15"/>
  <c r="BV117" i="15"/>
  <c r="BX117" i="15"/>
  <c r="R118" i="15"/>
  <c r="BP118" i="15"/>
  <c r="BT118" i="15"/>
  <c r="BV118" i="15"/>
  <c r="BX118" i="15"/>
  <c r="R119" i="15"/>
  <c r="BP119" i="15"/>
  <c r="BT119" i="15"/>
  <c r="BV119" i="15"/>
  <c r="BX119" i="15"/>
  <c r="R120" i="15"/>
  <c r="BP120" i="15"/>
  <c r="BT120" i="15"/>
  <c r="BV120" i="15"/>
  <c r="BX120" i="15"/>
  <c r="R121" i="15"/>
  <c r="BP121" i="15"/>
  <c r="BT121" i="15"/>
  <c r="BV121" i="15"/>
  <c r="BX121" i="15"/>
  <c r="R122" i="15"/>
  <c r="BP122" i="15"/>
  <c r="BT122" i="15"/>
  <c r="BV122" i="15"/>
  <c r="BX122" i="15"/>
  <c r="R123" i="15"/>
  <c r="BP123" i="15"/>
  <c r="BT123" i="15"/>
  <c r="BV123" i="15"/>
  <c r="BX123" i="15"/>
  <c r="R124" i="15"/>
  <c r="BP124" i="15"/>
  <c r="BT124" i="15"/>
  <c r="BV124" i="15"/>
  <c r="BX124" i="15"/>
  <c r="R125" i="15"/>
  <c r="BP125" i="15"/>
  <c r="BT125" i="15"/>
  <c r="BV125" i="15"/>
  <c r="BX125" i="15"/>
  <c r="N127" i="15"/>
  <c r="P127" i="15"/>
  <c r="R127" i="15"/>
  <c r="T127" i="15"/>
  <c r="V127" i="15"/>
  <c r="X127" i="15"/>
  <c r="Z127" i="15"/>
  <c r="AB127" i="15"/>
  <c r="AD127" i="15"/>
  <c r="AF127" i="15"/>
  <c r="AH127" i="15"/>
  <c r="AJ127" i="15"/>
  <c r="AN127" i="15"/>
  <c r="AP127" i="15"/>
  <c r="AR127" i="15"/>
  <c r="AT127" i="15"/>
  <c r="AV127" i="15"/>
  <c r="AX127" i="15"/>
  <c r="AZ127" i="15"/>
  <c r="BB127" i="15"/>
  <c r="BD127" i="15"/>
  <c r="BF127" i="15"/>
  <c r="BH127" i="15"/>
  <c r="BJ127" i="15"/>
  <c r="BL127" i="15"/>
  <c r="BN127" i="15"/>
  <c r="BP127" i="15"/>
  <c r="BR127" i="15"/>
  <c r="BT127" i="15"/>
  <c r="BV127" i="15"/>
  <c r="BX127" i="15"/>
  <c r="BP131" i="15"/>
  <c r="BT131" i="15"/>
  <c r="BV131" i="15"/>
  <c r="BX131" i="15"/>
  <c r="AZ132" i="15"/>
  <c r="BP132" i="15"/>
  <c r="BT132" i="15"/>
  <c r="BV132" i="15"/>
  <c r="BX132" i="15"/>
  <c r="BP133" i="15"/>
  <c r="BT133" i="15"/>
  <c r="BV133" i="15"/>
  <c r="BX133" i="15"/>
  <c r="N134" i="15"/>
  <c r="P134" i="15"/>
  <c r="R134" i="15"/>
  <c r="T134" i="15"/>
  <c r="V134" i="15"/>
  <c r="X134" i="15"/>
  <c r="Z134" i="15"/>
  <c r="AB134" i="15"/>
  <c r="AD134" i="15"/>
  <c r="AF134" i="15"/>
  <c r="AH134" i="15"/>
  <c r="AJ134" i="15"/>
  <c r="AL134" i="15"/>
  <c r="AN134" i="15"/>
  <c r="AP134" i="15"/>
  <c r="AR134" i="15"/>
  <c r="AT134" i="15"/>
  <c r="AV134" i="15"/>
  <c r="AX134" i="15"/>
  <c r="AZ134" i="15"/>
  <c r="BB134" i="15"/>
  <c r="BD134" i="15"/>
  <c r="BF134" i="15"/>
  <c r="BH134" i="15"/>
  <c r="BJ134" i="15"/>
  <c r="BL134" i="15"/>
  <c r="BN134" i="15"/>
  <c r="BP134" i="15"/>
  <c r="BR134" i="15"/>
  <c r="BT134" i="15"/>
  <c r="BV134" i="15"/>
  <c r="BX134" i="15"/>
  <c r="BD136" i="15"/>
  <c r="BP136" i="15"/>
  <c r="BT136" i="15"/>
  <c r="BV136" i="15"/>
  <c r="BX136" i="15"/>
  <c r="BP138" i="15"/>
  <c r="BT138" i="15"/>
  <c r="BV138" i="15"/>
  <c r="BX138" i="15"/>
  <c r="BP140" i="15"/>
  <c r="BT140" i="15"/>
  <c r="BV140" i="15"/>
  <c r="BX140" i="15"/>
  <c r="BL142" i="15"/>
  <c r="BP142" i="15"/>
  <c r="BT142" i="15"/>
  <c r="BV142" i="15"/>
  <c r="BX142" i="15"/>
  <c r="BP145" i="15"/>
  <c r="BT145" i="15"/>
  <c r="BV145" i="15"/>
  <c r="BX145" i="15"/>
  <c r="BP146" i="15"/>
  <c r="BT146" i="15"/>
  <c r="BV146" i="15"/>
  <c r="BX146" i="15"/>
  <c r="BP147" i="15"/>
  <c r="BT147" i="15"/>
  <c r="BV147" i="15"/>
  <c r="BX147" i="15"/>
  <c r="BT148" i="15"/>
  <c r="BV148" i="15"/>
  <c r="BX148" i="15"/>
  <c r="N149" i="15"/>
  <c r="P149" i="15"/>
  <c r="R149" i="15"/>
  <c r="T149" i="15"/>
  <c r="V149" i="15"/>
  <c r="X149" i="15"/>
  <c r="Z149" i="15"/>
  <c r="AB149" i="15"/>
  <c r="AD149" i="15"/>
  <c r="AF149" i="15"/>
  <c r="AH149" i="15"/>
  <c r="AJ149" i="15"/>
  <c r="AL149" i="15"/>
  <c r="AN149" i="15"/>
  <c r="AP149" i="15"/>
  <c r="AR149" i="15"/>
  <c r="AT149" i="15"/>
  <c r="AV149" i="15"/>
  <c r="AX149" i="15"/>
  <c r="AZ149" i="15"/>
  <c r="BB149" i="15"/>
  <c r="BD149" i="15"/>
  <c r="BF149" i="15"/>
  <c r="BH149" i="15"/>
  <c r="BJ149" i="15"/>
  <c r="BL149" i="15"/>
  <c r="BN149" i="15"/>
  <c r="BP149" i="15"/>
  <c r="BR149" i="15"/>
  <c r="BT149" i="15"/>
  <c r="BV149" i="15"/>
  <c r="BX149" i="15"/>
  <c r="BP152" i="15"/>
  <c r="BT152" i="15"/>
  <c r="BV152" i="15"/>
  <c r="BX152" i="15"/>
  <c r="BP153" i="15"/>
  <c r="BT153" i="15"/>
  <c r="BV153" i="15"/>
  <c r="BX153" i="15"/>
  <c r="BP154" i="15"/>
  <c r="BT154" i="15"/>
  <c r="BV154" i="15"/>
  <c r="BX154" i="15"/>
  <c r="BP155" i="15"/>
  <c r="BT155" i="15"/>
  <c r="BV155" i="15"/>
  <c r="BX155" i="15"/>
  <c r="BP156" i="15"/>
  <c r="BT156" i="15"/>
  <c r="BV156" i="15"/>
  <c r="BX156" i="15"/>
  <c r="AN157" i="15"/>
  <c r="AZ157" i="15"/>
  <c r="BD157" i="15"/>
  <c r="BL157" i="15"/>
  <c r="BP157" i="15"/>
  <c r="BT157" i="15"/>
  <c r="BV157" i="15"/>
  <c r="BX157" i="15"/>
  <c r="BT158" i="15"/>
  <c r="N159" i="15"/>
  <c r="P159" i="15"/>
  <c r="R159" i="15"/>
  <c r="T159" i="15"/>
  <c r="V159" i="15"/>
  <c r="X159" i="15"/>
  <c r="Z159" i="15"/>
  <c r="AB159" i="15"/>
  <c r="AD159" i="15"/>
  <c r="AF159" i="15"/>
  <c r="AH159" i="15"/>
  <c r="AJ159" i="15"/>
  <c r="AL159" i="15"/>
  <c r="AN159" i="15"/>
  <c r="AP159" i="15"/>
  <c r="AR159" i="15"/>
  <c r="AT159" i="15"/>
  <c r="AV159" i="15"/>
  <c r="AX159" i="15"/>
  <c r="AZ159" i="15"/>
  <c r="BB159" i="15"/>
  <c r="BD159" i="15"/>
  <c r="BF159" i="15"/>
  <c r="BH159" i="15"/>
  <c r="BJ159" i="15"/>
  <c r="BL159" i="15"/>
  <c r="BN159" i="15"/>
  <c r="BP159" i="15"/>
  <c r="BR159" i="15"/>
  <c r="BT159" i="15"/>
  <c r="BV159" i="15"/>
  <c r="BX159" i="15"/>
  <c r="Q162" i="15"/>
  <c r="BP162" i="15"/>
  <c r="BV162" i="15"/>
  <c r="BX162" i="15"/>
  <c r="O163" i="15"/>
  <c r="Q163" i="15"/>
  <c r="BP163" i="15"/>
  <c r="BT163" i="15"/>
  <c r="BV163" i="15"/>
  <c r="BX163" i="15"/>
  <c r="M164" i="15"/>
  <c r="O164" i="15"/>
  <c r="Q164" i="15"/>
  <c r="BB164" i="15"/>
  <c r="BP164" i="15"/>
  <c r="BT164" i="15"/>
  <c r="BV164" i="15"/>
  <c r="BX164" i="15"/>
  <c r="BB165" i="15"/>
  <c r="BP165" i="15"/>
  <c r="BT165" i="15"/>
  <c r="BV165" i="15"/>
  <c r="BX165" i="15"/>
  <c r="BP166" i="15"/>
  <c r="BT166" i="15"/>
  <c r="BV166" i="15"/>
  <c r="BX166" i="15"/>
  <c r="BB167" i="15"/>
  <c r="BP167" i="15"/>
  <c r="BT167" i="15"/>
  <c r="BV167" i="15"/>
  <c r="BX167" i="15"/>
  <c r="BB168" i="15"/>
  <c r="BP168" i="15"/>
  <c r="BT168" i="15"/>
  <c r="BV168" i="15"/>
  <c r="BX168" i="15"/>
  <c r="BB169" i="15"/>
  <c r="BP169" i="15"/>
  <c r="BT169" i="15"/>
  <c r="BV169" i="15"/>
  <c r="BX169" i="15"/>
  <c r="BB170" i="15"/>
  <c r="BP170" i="15"/>
  <c r="BT170" i="15"/>
  <c r="BV170" i="15"/>
  <c r="BX170" i="15"/>
  <c r="BB171" i="15"/>
  <c r="BP171" i="15"/>
  <c r="BT171" i="15"/>
  <c r="BV171" i="15"/>
  <c r="BX171" i="15"/>
  <c r="BB172" i="15"/>
  <c r="BP172" i="15"/>
  <c r="BT172" i="15"/>
  <c r="BV172" i="15"/>
  <c r="BX172" i="15"/>
  <c r="BB173" i="15"/>
  <c r="BP173" i="15"/>
  <c r="BT173" i="15"/>
  <c r="BV173" i="15"/>
  <c r="BX173" i="15"/>
  <c r="BB174" i="15"/>
  <c r="BP174" i="15"/>
  <c r="BT174" i="15"/>
  <c r="BV174" i="15"/>
  <c r="BX174" i="15"/>
  <c r="BB175" i="15"/>
  <c r="BP175" i="15"/>
  <c r="BT175" i="15"/>
  <c r="BV175" i="15"/>
  <c r="BX175" i="15"/>
  <c r="BB176" i="15"/>
  <c r="BP176" i="15"/>
  <c r="BT176" i="15"/>
  <c r="BV176" i="15"/>
  <c r="BX176" i="15"/>
  <c r="BB177" i="15"/>
  <c r="BP177" i="15"/>
  <c r="BT177" i="15"/>
  <c r="BV177" i="15"/>
  <c r="BX177" i="15"/>
  <c r="BB178" i="15"/>
  <c r="BP178" i="15"/>
  <c r="BT178" i="15"/>
  <c r="BV178" i="15"/>
  <c r="BX178" i="15"/>
  <c r="BB179" i="15"/>
  <c r="BP179" i="15"/>
  <c r="BT179" i="15"/>
  <c r="BV179" i="15"/>
  <c r="BX179" i="15"/>
  <c r="BL180" i="15"/>
  <c r="BP180" i="15"/>
  <c r="BV180" i="15"/>
  <c r="BX180" i="15"/>
  <c r="R181" i="15"/>
  <c r="BP181" i="15"/>
  <c r="BT181" i="15"/>
  <c r="BV181" i="15"/>
  <c r="BX181" i="15"/>
  <c r="M182" i="15"/>
  <c r="O182" i="15"/>
  <c r="Q182" i="15"/>
  <c r="R182" i="15"/>
  <c r="T182" i="15"/>
  <c r="V182" i="15"/>
  <c r="X182" i="15"/>
  <c r="Z182" i="15"/>
  <c r="AB182" i="15"/>
  <c r="AD182" i="15"/>
  <c r="AF182" i="15"/>
  <c r="AH182" i="15"/>
  <c r="AJ182" i="15"/>
  <c r="AL182" i="15"/>
  <c r="AN182" i="15"/>
  <c r="AP182" i="15"/>
  <c r="AR182" i="15"/>
  <c r="AT182" i="15"/>
  <c r="AU182" i="15"/>
  <c r="AV182" i="15"/>
  <c r="AW182" i="15"/>
  <c r="AX182" i="15"/>
  <c r="AY182" i="15"/>
  <c r="AZ182" i="15"/>
  <c r="BA182" i="15"/>
  <c r="BB182" i="15"/>
  <c r="BD182" i="15"/>
  <c r="BF182" i="15"/>
  <c r="BG182" i="15"/>
  <c r="BH182" i="15"/>
  <c r="BI182" i="15"/>
  <c r="BJ182" i="15"/>
  <c r="BK182" i="15"/>
  <c r="BL182" i="15"/>
  <c r="BM182" i="15"/>
  <c r="BN182" i="15"/>
  <c r="BO182" i="15"/>
  <c r="BP182" i="15"/>
  <c r="BQ182" i="15"/>
  <c r="BR182" i="15"/>
  <c r="BS182" i="15"/>
  <c r="BT182" i="15"/>
  <c r="BU182" i="15"/>
  <c r="BV182" i="15"/>
  <c r="BW182" i="15"/>
  <c r="BX182" i="15"/>
  <c r="BY182" i="15"/>
  <c r="BL184" i="15"/>
  <c r="BP184" i="15"/>
  <c r="BT184" i="15"/>
  <c r="BV184" i="15"/>
  <c r="BX184" i="15"/>
  <c r="R187" i="15"/>
  <c r="BP187" i="15"/>
  <c r="BT187" i="15"/>
  <c r="BV187" i="15"/>
  <c r="BX187" i="15"/>
  <c r="BP188" i="15"/>
  <c r="BT188" i="15"/>
  <c r="BV188" i="15"/>
  <c r="BX188" i="15"/>
  <c r="BP189" i="15"/>
  <c r="BT189" i="15"/>
  <c r="BV189" i="15"/>
  <c r="BX189" i="15"/>
  <c r="N190" i="15"/>
  <c r="P190" i="15"/>
  <c r="R190" i="15"/>
  <c r="T190" i="15"/>
  <c r="V190" i="15"/>
  <c r="X190" i="15"/>
  <c r="Z190" i="15"/>
  <c r="AB190" i="15"/>
  <c r="AD190" i="15"/>
  <c r="AF190" i="15"/>
  <c r="AH190" i="15"/>
  <c r="AJ190" i="15"/>
  <c r="AL190" i="15"/>
  <c r="AN190" i="15"/>
  <c r="AP190" i="15"/>
  <c r="AR190" i="15"/>
  <c r="AT190" i="15"/>
  <c r="AV190" i="15"/>
  <c r="AX190" i="15"/>
  <c r="AZ190" i="15"/>
  <c r="BB190" i="15"/>
  <c r="BD190" i="15"/>
  <c r="BF190" i="15"/>
  <c r="BH190" i="15"/>
  <c r="BJ190" i="15"/>
  <c r="BL190" i="15"/>
  <c r="BN190" i="15"/>
  <c r="BP190" i="15"/>
  <c r="BR190" i="15"/>
  <c r="BT190" i="15"/>
  <c r="BV190" i="15"/>
  <c r="BX190" i="15"/>
  <c r="BP192" i="15"/>
  <c r="BT192" i="15"/>
  <c r="BV192" i="15"/>
  <c r="BX192" i="15"/>
  <c r="AL194" i="15"/>
  <c r="BP194" i="15"/>
  <c r="BT194" i="15"/>
  <c r="BV194" i="15"/>
  <c r="BX194" i="15"/>
  <c r="AJ197" i="15"/>
  <c r="BP197" i="15"/>
  <c r="BT197" i="15"/>
  <c r="BV197" i="15"/>
  <c r="BX197" i="15"/>
  <c r="AT198" i="15"/>
  <c r="AV198" i="15"/>
  <c r="BP198" i="15"/>
  <c r="BT198" i="15"/>
  <c r="BV198" i="15"/>
  <c r="BX198" i="15"/>
  <c r="R199" i="15"/>
  <c r="BP199" i="15"/>
  <c r="BT199" i="15"/>
  <c r="BV199" i="15"/>
  <c r="BX199" i="15"/>
  <c r="P200" i="15"/>
  <c r="R200" i="15"/>
  <c r="AR200" i="15"/>
  <c r="AT200" i="15"/>
  <c r="AV200" i="15"/>
  <c r="BF200" i="15"/>
  <c r="BH200" i="15"/>
  <c r="BJ200" i="15"/>
  <c r="BL200" i="15"/>
  <c r="BP200" i="15"/>
  <c r="BT200" i="15"/>
  <c r="BV200" i="15"/>
  <c r="BX200" i="15"/>
  <c r="AT201" i="15"/>
  <c r="BP201" i="15"/>
  <c r="BT201" i="15"/>
  <c r="BV201" i="15"/>
  <c r="BX201" i="15"/>
  <c r="BP202" i="15"/>
  <c r="BV202" i="15"/>
  <c r="BX202" i="15"/>
  <c r="N203" i="15"/>
  <c r="P203" i="15"/>
  <c r="R203" i="15"/>
  <c r="S203" i="15"/>
  <c r="T203" i="15"/>
  <c r="U203" i="15"/>
  <c r="V203" i="15"/>
  <c r="W203" i="15"/>
  <c r="X203" i="15"/>
  <c r="Y203" i="15"/>
  <c r="Z203" i="15"/>
  <c r="AA203" i="15"/>
  <c r="AB203" i="15"/>
  <c r="AC203" i="15"/>
  <c r="AD203" i="15"/>
  <c r="AE203" i="15"/>
  <c r="AF203" i="15"/>
  <c r="AG203" i="15"/>
  <c r="AH203" i="15"/>
  <c r="AJ203" i="15"/>
  <c r="AL203" i="15"/>
  <c r="AN203" i="15"/>
  <c r="AP203" i="15"/>
  <c r="AR203" i="15"/>
  <c r="AS203" i="15"/>
  <c r="AT203" i="15"/>
  <c r="AU203" i="15"/>
  <c r="AV203" i="15"/>
  <c r="AW203" i="15"/>
  <c r="AX203" i="15"/>
  <c r="AY203" i="15"/>
  <c r="AZ203" i="15"/>
  <c r="BA203" i="15"/>
  <c r="BB203" i="15"/>
  <c r="BD203" i="15"/>
  <c r="BF203" i="15"/>
  <c r="BG203" i="15"/>
  <c r="BH203" i="15"/>
  <c r="BI203" i="15"/>
  <c r="BJ203" i="15"/>
  <c r="BK203" i="15"/>
  <c r="BL203" i="15"/>
  <c r="BM203" i="15"/>
  <c r="BN203" i="15"/>
  <c r="BO203" i="15"/>
  <c r="BP203" i="15"/>
  <c r="BQ203" i="15"/>
  <c r="BR203" i="15"/>
  <c r="BS203" i="15"/>
  <c r="BT203" i="15"/>
  <c r="BU203" i="15"/>
  <c r="BV203" i="15"/>
  <c r="BW203" i="15"/>
  <c r="BX203" i="15"/>
  <c r="BY203" i="15"/>
  <c r="P206" i="15"/>
  <c r="BF206" i="15"/>
  <c r="BP206" i="15"/>
  <c r="BT206" i="15"/>
  <c r="BV206" i="15"/>
  <c r="BX206" i="15"/>
  <c r="P207" i="15"/>
  <c r="AT207" i="15"/>
  <c r="BP207" i="15"/>
  <c r="BT207" i="15"/>
  <c r="BV207" i="15"/>
  <c r="BX207" i="15"/>
  <c r="BP208" i="15"/>
  <c r="BT208" i="15"/>
  <c r="BV208" i="15"/>
  <c r="BX208" i="15"/>
  <c r="N209" i="15"/>
  <c r="O209" i="15"/>
  <c r="P209" i="15"/>
  <c r="Q209" i="15"/>
  <c r="R209" i="15"/>
  <c r="T209" i="15"/>
  <c r="V209" i="15"/>
  <c r="X209" i="15"/>
  <c r="Z209" i="15"/>
  <c r="AB209" i="15"/>
  <c r="AD209" i="15"/>
  <c r="AF209" i="15"/>
  <c r="AH209" i="15"/>
  <c r="AJ209" i="15"/>
  <c r="AL209" i="15"/>
  <c r="AN209" i="15"/>
  <c r="AP209" i="15"/>
  <c r="AR209" i="15"/>
  <c r="AT209" i="15"/>
  <c r="AV209" i="15"/>
  <c r="AX209" i="15"/>
  <c r="AZ209" i="15"/>
  <c r="BB209" i="15"/>
  <c r="BD209" i="15"/>
  <c r="BF209" i="15"/>
  <c r="BH209" i="15"/>
  <c r="BJ209" i="15"/>
  <c r="BL209" i="15"/>
  <c r="BN209" i="15"/>
  <c r="BP209" i="15"/>
  <c r="BR209" i="15"/>
  <c r="BT209" i="15"/>
  <c r="BV209" i="15"/>
  <c r="BX209" i="15"/>
  <c r="P211" i="15"/>
  <c r="AN211" i="15"/>
  <c r="AP211" i="15"/>
  <c r="AR211" i="15"/>
  <c r="AT211" i="15"/>
  <c r="AV211" i="15"/>
  <c r="AX211" i="15"/>
  <c r="AZ211" i="15"/>
  <c r="BF211" i="15"/>
  <c r="BP211" i="15"/>
  <c r="BV211" i="15"/>
  <c r="BX211" i="15"/>
  <c r="R213" i="15"/>
  <c r="S213" i="15"/>
  <c r="T213" i="15"/>
  <c r="U213" i="15"/>
  <c r="V213" i="15"/>
  <c r="W213" i="15"/>
  <c r="X213" i="15"/>
  <c r="Y213" i="15"/>
  <c r="Z213" i="15"/>
  <c r="AA213" i="15"/>
  <c r="AB213" i="15"/>
  <c r="AC213" i="15"/>
  <c r="AD213" i="15"/>
  <c r="AE213" i="15"/>
  <c r="AF213" i="15"/>
  <c r="AG213" i="15"/>
  <c r="AH213" i="15"/>
  <c r="AJ213" i="15"/>
  <c r="AL213" i="15"/>
  <c r="AN213" i="15"/>
  <c r="AP213" i="15"/>
  <c r="AR213" i="15"/>
  <c r="AS213" i="15"/>
  <c r="AT213" i="15"/>
  <c r="AU213" i="15"/>
  <c r="AV213" i="15"/>
  <c r="AW213" i="15"/>
  <c r="AX213" i="15"/>
  <c r="AY213" i="15"/>
  <c r="AZ213" i="15"/>
  <c r="BA213" i="15"/>
  <c r="BB213" i="15"/>
  <c r="BD213" i="15"/>
  <c r="BF213" i="15"/>
  <c r="BG213" i="15"/>
  <c r="BH213" i="15"/>
  <c r="BI213" i="15"/>
  <c r="BJ213" i="15"/>
  <c r="BK213" i="15"/>
  <c r="BL213" i="15"/>
  <c r="BM213" i="15"/>
  <c r="BN213" i="15"/>
  <c r="BO213" i="15"/>
  <c r="BP213" i="15"/>
  <c r="BQ213" i="15"/>
  <c r="BR213" i="15"/>
  <c r="BS213" i="15"/>
  <c r="BT213" i="15"/>
  <c r="BU213" i="15"/>
  <c r="BV213" i="15"/>
  <c r="BW213" i="15"/>
  <c r="BX213" i="15"/>
  <c r="BY213" i="15"/>
  <c r="P215" i="15"/>
  <c r="R215" i="15"/>
  <c r="BP215" i="15"/>
  <c r="BT215" i="15"/>
  <c r="BV215" i="15"/>
  <c r="BX215" i="15"/>
  <c r="BP217" i="15"/>
  <c r="BV217" i="15"/>
  <c r="BX217" i="15"/>
  <c r="R219" i="15"/>
  <c r="S219" i="15"/>
  <c r="T219" i="15"/>
  <c r="U219" i="15"/>
  <c r="V219" i="15"/>
  <c r="W219" i="15"/>
  <c r="X219" i="15"/>
  <c r="Y219" i="15"/>
  <c r="Z219" i="15"/>
  <c r="AA219" i="15"/>
  <c r="AB219" i="15"/>
  <c r="AC219" i="15"/>
  <c r="AD219" i="15"/>
  <c r="AE219" i="15"/>
  <c r="AF219" i="15"/>
  <c r="AG219" i="15"/>
  <c r="AH219" i="15"/>
  <c r="AJ219" i="15"/>
  <c r="AL219" i="15"/>
  <c r="AN219" i="15"/>
  <c r="AP219" i="15"/>
  <c r="AR219" i="15"/>
  <c r="AS219" i="15"/>
  <c r="AT219" i="15"/>
  <c r="AU219" i="15"/>
  <c r="AV219" i="15"/>
  <c r="AW219" i="15"/>
  <c r="AX219" i="15"/>
  <c r="AY219" i="15"/>
  <c r="AZ219" i="15"/>
  <c r="BA219" i="15"/>
  <c r="BB219" i="15"/>
  <c r="BD219" i="15"/>
  <c r="BF219" i="15"/>
  <c r="BG219" i="15"/>
  <c r="BH219" i="15"/>
  <c r="BI219" i="15"/>
  <c r="BJ219" i="15"/>
  <c r="BK219" i="15"/>
  <c r="BL219" i="15"/>
  <c r="BM219" i="15"/>
  <c r="BN219" i="15"/>
  <c r="BO219" i="15"/>
  <c r="BP219" i="15"/>
  <c r="BQ219" i="15"/>
  <c r="BR219" i="15"/>
  <c r="BS219" i="15"/>
  <c r="BT219" i="15"/>
  <c r="BU219" i="15"/>
  <c r="BV219" i="15"/>
  <c r="BW219" i="15"/>
  <c r="BX219" i="15"/>
  <c r="BP222" i="15"/>
  <c r="BP223" i="15"/>
  <c r="BP224" i="15"/>
  <c r="BP226" i="15"/>
  <c r="BP229" i="15"/>
  <c r="BL234" i="15"/>
  <c r="BP234" i="15"/>
  <c r="BB235" i="15"/>
  <c r="BP235" i="15"/>
  <c r="BT235" i="15"/>
  <c r="BV235" i="15"/>
  <c r="BX235" i="15"/>
  <c r="BP236" i="15"/>
  <c r="BT236" i="15"/>
  <c r="BV236" i="15"/>
  <c r="BX236" i="15"/>
  <c r="BB237" i="15"/>
  <c r="BP237" i="15"/>
  <c r="BT237" i="15"/>
  <c r="BV237" i="15"/>
  <c r="BX237" i="15"/>
  <c r="R238" i="15"/>
  <c r="BB238" i="15"/>
  <c r="BD238" i="15"/>
  <c r="BF238" i="15"/>
  <c r="BG238" i="15"/>
  <c r="BH238" i="15"/>
  <c r="BI238" i="15"/>
  <c r="BJ238" i="15"/>
  <c r="BK238" i="15"/>
  <c r="BL238" i="15"/>
  <c r="BM238" i="15"/>
  <c r="BN238" i="15"/>
  <c r="BO238" i="15"/>
  <c r="BP238" i="15"/>
  <c r="BQ238" i="15"/>
  <c r="BR238" i="15"/>
  <c r="BS238" i="15"/>
  <c r="BT238" i="15"/>
  <c r="BU238" i="15"/>
  <c r="BV238" i="15"/>
  <c r="BW238" i="15"/>
  <c r="BX238" i="15"/>
  <c r="BY238" i="15"/>
  <c r="R241" i="15"/>
  <c r="S241" i="15"/>
  <c r="T241" i="15"/>
  <c r="U241" i="15"/>
  <c r="V241" i="15"/>
  <c r="W241" i="15"/>
  <c r="X241" i="15"/>
  <c r="Y241" i="15"/>
  <c r="Z241" i="15"/>
  <c r="AA241" i="15"/>
  <c r="AB241" i="15"/>
  <c r="AC241" i="15"/>
  <c r="AD241" i="15"/>
  <c r="AE241" i="15"/>
  <c r="AF241" i="15"/>
  <c r="AG241" i="15"/>
  <c r="AH241" i="15"/>
  <c r="AI241" i="15"/>
  <c r="AJ241" i="15"/>
  <c r="AK241" i="15"/>
  <c r="AL241" i="15"/>
  <c r="AM241" i="15"/>
  <c r="AN241" i="15"/>
  <c r="AO241" i="15"/>
  <c r="AP241" i="15"/>
  <c r="AQ241" i="15"/>
  <c r="AR241" i="15"/>
  <c r="AS241" i="15"/>
  <c r="AT241" i="15"/>
  <c r="AU241" i="15"/>
  <c r="AV241" i="15"/>
  <c r="AW241" i="15"/>
  <c r="AX241" i="15"/>
  <c r="AY241" i="15"/>
  <c r="AZ241" i="15"/>
  <c r="BA241" i="15"/>
  <c r="BB241" i="15"/>
  <c r="BC241" i="15"/>
  <c r="BD241" i="15"/>
  <c r="BE241" i="15"/>
  <c r="BF241" i="15"/>
  <c r="BG241" i="15"/>
  <c r="BH241" i="15"/>
  <c r="BI241" i="15"/>
  <c r="BJ241" i="15"/>
  <c r="BK241" i="15"/>
  <c r="BL241" i="15"/>
  <c r="BM241" i="15"/>
  <c r="BN241" i="15"/>
  <c r="BO241" i="15"/>
  <c r="BP241" i="15"/>
  <c r="BQ241" i="15"/>
  <c r="BR241" i="15"/>
  <c r="BS241" i="15"/>
  <c r="BT241" i="15"/>
  <c r="BU241" i="15"/>
  <c r="BV241" i="15"/>
  <c r="BW241" i="15"/>
  <c r="BX241" i="15"/>
  <c r="BY241" i="15"/>
  <c r="BP246" i="15"/>
  <c r="BP247" i="15"/>
  <c r="BP248" i="15"/>
  <c r="BP249" i="15"/>
  <c r="BP253" i="15"/>
  <c r="BP255" i="15"/>
  <c r="BP257" i="15"/>
  <c r="E7" i="7"/>
  <c r="E8" i="7"/>
  <c r="E13" i="7"/>
  <c r="E14" i="7"/>
  <c r="E18" i="7"/>
  <c r="E23" i="7"/>
  <c r="E25" i="7"/>
  <c r="E26" i="7"/>
  <c r="E30" i="7"/>
  <c r="E31" i="7"/>
  <c r="E33" i="7"/>
  <c r="E37" i="7"/>
  <c r="E41" i="7"/>
  <c r="K14" i="8"/>
  <c r="K15" i="8"/>
  <c r="K16" i="8"/>
  <c r="E18" i="8"/>
  <c r="G18" i="8"/>
  <c r="I18" i="8"/>
  <c r="K18" i="8"/>
  <c r="O2" i="5"/>
  <c r="BV3" i="5"/>
  <c r="G9" i="5"/>
  <c r="I9" i="5"/>
  <c r="K9" i="5"/>
  <c r="E11" i="5"/>
  <c r="G11" i="5"/>
  <c r="I11" i="5"/>
  <c r="K11" i="5"/>
  <c r="M11" i="5"/>
  <c r="O11" i="5"/>
  <c r="A13" i="5"/>
  <c r="E13" i="5"/>
  <c r="G13" i="5"/>
  <c r="I13" i="5"/>
  <c r="K13" i="5"/>
  <c r="M13" i="5"/>
  <c r="O13" i="5"/>
  <c r="E15" i="5"/>
  <c r="G15" i="5"/>
  <c r="I15" i="5"/>
  <c r="K15" i="5"/>
  <c r="M15" i="5"/>
  <c r="O15" i="5"/>
  <c r="C17" i="5"/>
  <c r="E17" i="5"/>
  <c r="G17" i="5"/>
  <c r="I17" i="5"/>
  <c r="K17" i="5"/>
  <c r="M17" i="5"/>
  <c r="O17" i="5"/>
  <c r="E18" i="5"/>
  <c r="K18" i="5"/>
  <c r="E22" i="5"/>
  <c r="G22" i="5"/>
  <c r="I22" i="5"/>
  <c r="K22" i="5"/>
  <c r="I24" i="5"/>
  <c r="M24" i="5"/>
  <c r="A26" i="5"/>
  <c r="I26" i="5"/>
  <c r="M26" i="5"/>
  <c r="I28" i="5"/>
  <c r="M28" i="5"/>
  <c r="E30" i="5"/>
  <c r="G30" i="5"/>
  <c r="I30" i="5"/>
  <c r="K30" i="5"/>
  <c r="M30" i="5"/>
  <c r="G35" i="5"/>
  <c r="I35" i="5"/>
  <c r="K35" i="5"/>
  <c r="G37" i="5"/>
  <c r="K37" i="5"/>
  <c r="G39" i="5"/>
  <c r="I39" i="5"/>
  <c r="K39" i="5"/>
  <c r="K41" i="5"/>
  <c r="E43" i="5"/>
  <c r="G43" i="5"/>
  <c r="I43" i="5"/>
  <c r="K43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2" i="5"/>
  <c r="C73" i="5"/>
  <c r="C74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5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2" i="5"/>
  <c r="A118" i="5"/>
  <c r="A1" i="13"/>
  <c r="A2" i="13"/>
  <c r="BV2" i="13"/>
  <c r="BR3" i="13"/>
  <c r="BV3" i="13"/>
  <c r="BX3" i="13"/>
  <c r="B4" i="13"/>
  <c r="A5" i="13"/>
  <c r="N7" i="13"/>
  <c r="R7" i="13"/>
  <c r="T7" i="13"/>
  <c r="V7" i="13"/>
  <c r="X7" i="13"/>
  <c r="Z7" i="13"/>
  <c r="AB7" i="13"/>
  <c r="AD7" i="13"/>
  <c r="AF7" i="13"/>
  <c r="AH7" i="13"/>
  <c r="AJ7" i="13"/>
  <c r="AL7" i="13"/>
  <c r="AN7" i="13"/>
  <c r="AP7" i="13"/>
  <c r="AR7" i="13"/>
  <c r="AT7" i="13"/>
  <c r="AV7" i="13"/>
  <c r="AX7" i="13"/>
  <c r="AZ7" i="13"/>
  <c r="BB7" i="13"/>
  <c r="BD7" i="13"/>
  <c r="BF7" i="13"/>
  <c r="BH7" i="13"/>
  <c r="BJ7" i="13"/>
  <c r="BL7" i="13"/>
  <c r="BN7" i="13"/>
  <c r="BP7" i="13"/>
  <c r="AD9" i="13"/>
  <c r="AV9" i="13"/>
  <c r="BD9" i="13"/>
  <c r="BN9" i="13"/>
  <c r="BP9" i="13"/>
  <c r="BR9" i="13"/>
  <c r="BT9" i="13"/>
  <c r="BV9" i="13"/>
  <c r="BN10" i="13"/>
  <c r="BP10" i="13"/>
  <c r="BR10" i="13"/>
  <c r="BT10" i="13"/>
  <c r="BV10" i="13"/>
  <c r="BV11" i="13"/>
  <c r="N12" i="13"/>
  <c r="P12" i="13"/>
  <c r="R12" i="13"/>
  <c r="T12" i="13"/>
  <c r="V12" i="13"/>
  <c r="X12" i="13"/>
  <c r="Z12" i="13"/>
  <c r="AB12" i="13"/>
  <c r="AD12" i="13"/>
  <c r="AF12" i="13"/>
  <c r="AH12" i="13"/>
  <c r="AJ12" i="13"/>
  <c r="AL12" i="13"/>
  <c r="AN12" i="13"/>
  <c r="AP12" i="13"/>
  <c r="AR12" i="13"/>
  <c r="AT12" i="13"/>
  <c r="AV12" i="13"/>
  <c r="AX12" i="13"/>
  <c r="AZ12" i="13"/>
  <c r="BB12" i="13"/>
  <c r="BD12" i="13"/>
  <c r="BF12" i="13"/>
  <c r="BH12" i="13"/>
  <c r="BJ12" i="13"/>
  <c r="BL12" i="13"/>
  <c r="BN12" i="13"/>
  <c r="BP12" i="13"/>
  <c r="BR12" i="13"/>
  <c r="BT12" i="13"/>
  <c r="BV12" i="13"/>
  <c r="R14" i="13"/>
  <c r="BN14" i="13"/>
  <c r="BR14" i="13"/>
  <c r="BT14" i="13"/>
  <c r="BV14" i="13"/>
  <c r="AX15" i="13"/>
  <c r="BN15" i="13"/>
  <c r="BP15" i="13"/>
  <c r="BR15" i="13"/>
  <c r="BT15" i="13"/>
  <c r="BV15" i="13"/>
  <c r="BN16" i="13"/>
  <c r="BR16" i="13"/>
  <c r="BT16" i="13"/>
  <c r="BV16" i="13"/>
  <c r="BN17" i="13"/>
  <c r="BR17" i="13"/>
  <c r="BT17" i="13"/>
  <c r="BV17" i="13"/>
  <c r="BN18" i="13"/>
  <c r="BR18" i="13"/>
  <c r="BT18" i="13"/>
  <c r="BV18" i="13"/>
  <c r="BN19" i="13"/>
  <c r="BR19" i="13"/>
  <c r="BT19" i="13"/>
  <c r="BV19" i="13"/>
  <c r="BN20" i="13"/>
  <c r="BR20" i="13"/>
  <c r="BT20" i="13"/>
  <c r="BV20" i="13"/>
  <c r="BN21" i="13"/>
  <c r="BR21" i="13"/>
  <c r="BT21" i="13"/>
  <c r="BV21" i="13"/>
  <c r="R22" i="13"/>
  <c r="BN22" i="13"/>
  <c r="BR22" i="13"/>
  <c r="BT22" i="13"/>
  <c r="BV22" i="13"/>
  <c r="R23" i="13"/>
  <c r="BN23" i="13"/>
  <c r="BR23" i="13"/>
  <c r="BT23" i="13"/>
  <c r="BV23" i="13"/>
  <c r="R24" i="13"/>
  <c r="BN24" i="13"/>
  <c r="BR24" i="13"/>
  <c r="BT24" i="13"/>
  <c r="BV24" i="13"/>
  <c r="R25" i="13"/>
  <c r="BN25" i="13"/>
  <c r="BR25" i="13"/>
  <c r="BT25" i="13"/>
  <c r="BV25" i="13"/>
  <c r="R26" i="13"/>
  <c r="BN26" i="13"/>
  <c r="BR26" i="13"/>
  <c r="BT26" i="13"/>
  <c r="BV26" i="13"/>
  <c r="R27" i="13"/>
  <c r="BN27" i="13"/>
  <c r="BR27" i="13"/>
  <c r="BT27" i="13"/>
  <c r="BV27" i="13"/>
  <c r="R28" i="13"/>
  <c r="BN28" i="13"/>
  <c r="BR28" i="13"/>
  <c r="BT28" i="13"/>
  <c r="BV28" i="13"/>
  <c r="R29" i="13"/>
  <c r="BN29" i="13"/>
  <c r="BR29" i="13"/>
  <c r="BT29" i="13"/>
  <c r="BV29" i="13"/>
  <c r="BN30" i="13"/>
  <c r="BR30" i="13"/>
  <c r="BT30" i="13"/>
  <c r="BV30" i="13"/>
  <c r="BR31" i="13"/>
  <c r="BT31" i="13"/>
  <c r="BV31" i="13"/>
  <c r="N32" i="13"/>
  <c r="P32" i="13"/>
  <c r="R32" i="13"/>
  <c r="T32" i="13"/>
  <c r="V32" i="13"/>
  <c r="X32" i="13"/>
  <c r="Z32" i="13"/>
  <c r="AB32" i="13"/>
  <c r="AD32" i="13"/>
  <c r="AF32" i="13"/>
  <c r="AH32" i="13"/>
  <c r="AJ32" i="13"/>
  <c r="AL32" i="13"/>
  <c r="AN32" i="13"/>
  <c r="AP32" i="13"/>
  <c r="AR32" i="13"/>
  <c r="AT32" i="13"/>
  <c r="AV32" i="13"/>
  <c r="AX32" i="13"/>
  <c r="AZ32" i="13"/>
  <c r="BB32" i="13"/>
  <c r="BD32" i="13"/>
  <c r="BF32" i="13"/>
  <c r="BH32" i="13"/>
  <c r="BJ32" i="13"/>
  <c r="BL32" i="13"/>
  <c r="BN32" i="13"/>
  <c r="BP32" i="13"/>
  <c r="BR32" i="13"/>
  <c r="BT32" i="13"/>
  <c r="BV32" i="13"/>
  <c r="N34" i="13"/>
  <c r="P34" i="13"/>
  <c r="R34" i="13"/>
  <c r="T34" i="13"/>
  <c r="V34" i="13"/>
  <c r="X34" i="13"/>
  <c r="Z34" i="13"/>
  <c r="AB34" i="13"/>
  <c r="AD34" i="13"/>
  <c r="AF34" i="13"/>
  <c r="AH34" i="13"/>
  <c r="AJ34" i="13"/>
  <c r="AL34" i="13"/>
  <c r="AN34" i="13"/>
  <c r="AP34" i="13"/>
  <c r="AR34" i="13"/>
  <c r="AT34" i="13"/>
  <c r="AV34" i="13"/>
  <c r="AX34" i="13"/>
  <c r="AZ34" i="13"/>
  <c r="BB34" i="13"/>
  <c r="BD34" i="13"/>
  <c r="BF34" i="13"/>
  <c r="BH34" i="13"/>
  <c r="BJ34" i="13"/>
  <c r="BL34" i="13"/>
  <c r="BN34" i="13"/>
  <c r="BP34" i="13"/>
  <c r="BR34" i="13"/>
  <c r="BT34" i="13"/>
  <c r="BV34" i="13"/>
  <c r="AT40" i="13"/>
  <c r="AX40" i="13"/>
  <c r="BN40" i="13"/>
  <c r="BP40" i="13"/>
  <c r="BR40" i="13"/>
  <c r="BT40" i="13"/>
  <c r="BV40" i="13"/>
  <c r="AP41" i="13"/>
  <c r="AT41" i="13"/>
  <c r="AX41" i="13"/>
  <c r="BN41" i="13"/>
  <c r="BP41" i="13"/>
  <c r="BR41" i="13"/>
  <c r="BT41" i="13"/>
  <c r="BV41" i="13"/>
  <c r="AP42" i="13"/>
  <c r="AT42" i="13"/>
  <c r="AX42" i="13"/>
  <c r="BN42" i="13"/>
  <c r="BP42" i="13"/>
  <c r="BR42" i="13"/>
  <c r="BT42" i="13"/>
  <c r="BV42" i="13"/>
  <c r="AT43" i="13"/>
  <c r="AX43" i="13"/>
  <c r="BN43" i="13"/>
  <c r="BP43" i="13"/>
  <c r="BR43" i="13"/>
  <c r="BT43" i="13"/>
  <c r="BV43" i="13"/>
  <c r="AT44" i="13"/>
  <c r="AX44" i="13"/>
  <c r="BN44" i="13"/>
  <c r="BR44" i="13"/>
  <c r="BT44" i="13"/>
  <c r="BV44" i="13"/>
  <c r="BN45" i="13"/>
  <c r="BR45" i="13"/>
  <c r="BT45" i="13"/>
  <c r="BV45" i="13"/>
  <c r="BN46" i="13"/>
  <c r="BR46" i="13"/>
  <c r="BT46" i="13"/>
  <c r="BV46" i="13"/>
  <c r="BN47" i="13"/>
  <c r="BR47" i="13"/>
  <c r="BT47" i="13"/>
  <c r="R48" i="13"/>
  <c r="S48" i="13"/>
  <c r="T48" i="13"/>
  <c r="U48" i="13"/>
  <c r="V48" i="13"/>
  <c r="W48" i="13"/>
  <c r="X48" i="13"/>
  <c r="Y48" i="13"/>
  <c r="Z48" i="13"/>
  <c r="AA48" i="13"/>
  <c r="AB48" i="13"/>
  <c r="AC48" i="13"/>
  <c r="AD48" i="13"/>
  <c r="AE48" i="13"/>
  <c r="AF48" i="13"/>
  <c r="AG48" i="13"/>
  <c r="AH48" i="13"/>
  <c r="AI48" i="13"/>
  <c r="AJ48" i="13"/>
  <c r="AK48" i="13"/>
  <c r="AL48" i="13"/>
  <c r="AM48" i="13"/>
  <c r="AN48" i="13"/>
  <c r="AO48" i="13"/>
  <c r="AP48" i="13"/>
  <c r="AR48" i="13"/>
  <c r="AS48" i="13"/>
  <c r="AT48" i="13"/>
  <c r="AU48" i="13"/>
  <c r="AV48" i="13"/>
  <c r="AW48" i="13"/>
  <c r="AX48" i="13"/>
  <c r="AY48" i="13"/>
  <c r="AZ48" i="13"/>
  <c r="BA48" i="13"/>
  <c r="BB48" i="13"/>
  <c r="BC48" i="13"/>
  <c r="BD48" i="13"/>
  <c r="BE48" i="13"/>
  <c r="BF48" i="13"/>
  <c r="BG48" i="13"/>
  <c r="BH48" i="13"/>
  <c r="BI48" i="13"/>
  <c r="BJ48" i="13"/>
  <c r="BK48" i="13"/>
  <c r="BL48" i="13"/>
  <c r="BM48" i="13"/>
  <c r="BN48" i="13"/>
  <c r="BO48" i="13"/>
  <c r="BP48" i="13"/>
  <c r="BQ48" i="13"/>
  <c r="BR48" i="13"/>
  <c r="BS48" i="13"/>
  <c r="BT48" i="13"/>
  <c r="BU48" i="13"/>
  <c r="BV48" i="13"/>
  <c r="BN50" i="13"/>
  <c r="BN51" i="13"/>
  <c r="BR51" i="13"/>
  <c r="BT51" i="13"/>
  <c r="BV51" i="13"/>
  <c r="AT52" i="13"/>
  <c r="AX52" i="13"/>
  <c r="BN52" i="13"/>
  <c r="BP52" i="13"/>
  <c r="BR52" i="13"/>
  <c r="BT52" i="13"/>
  <c r="BV52" i="13"/>
  <c r="BN53" i="13"/>
  <c r="BP53" i="13"/>
  <c r="BR53" i="13"/>
  <c r="BT53" i="13"/>
  <c r="BV53" i="13"/>
  <c r="AX54" i="13"/>
  <c r="BN54" i="13"/>
  <c r="BP54" i="13"/>
  <c r="BR54" i="13"/>
  <c r="BT54" i="13"/>
  <c r="BV54" i="13"/>
  <c r="R55" i="13"/>
  <c r="S55" i="13"/>
  <c r="T55" i="13"/>
  <c r="U55" i="13"/>
  <c r="V55" i="13"/>
  <c r="W55" i="13"/>
  <c r="X55" i="13"/>
  <c r="Y55" i="13"/>
  <c r="Z55" i="13"/>
  <c r="AA55" i="13"/>
  <c r="AB55" i="13"/>
  <c r="AC55" i="13"/>
  <c r="AD55" i="13"/>
  <c r="AE55" i="13"/>
  <c r="AF55" i="13"/>
  <c r="AG55" i="13"/>
  <c r="AH55" i="13"/>
  <c r="AI55" i="13"/>
  <c r="AJ55" i="13"/>
  <c r="AK55" i="13"/>
  <c r="AL55" i="13"/>
  <c r="AM55" i="13"/>
  <c r="AN55" i="13"/>
  <c r="AO55" i="13"/>
  <c r="AP55" i="13"/>
  <c r="AR55" i="13"/>
  <c r="AS55" i="13"/>
  <c r="AT55" i="13"/>
  <c r="AU55" i="13"/>
  <c r="AV55" i="13"/>
  <c r="AW55" i="13"/>
  <c r="AX55" i="13"/>
  <c r="AY55" i="13"/>
  <c r="AZ55" i="13"/>
  <c r="BA55" i="13"/>
  <c r="BB55" i="13"/>
  <c r="BC55" i="13"/>
  <c r="BD55" i="13"/>
  <c r="BE55" i="13"/>
  <c r="BF55" i="13"/>
  <c r="BG55" i="13"/>
  <c r="BH55" i="13"/>
  <c r="BI55" i="13"/>
  <c r="BJ55" i="13"/>
  <c r="BK55" i="13"/>
  <c r="BL55" i="13"/>
  <c r="BM55" i="13"/>
  <c r="BN55" i="13"/>
  <c r="BO55" i="13"/>
  <c r="BP55" i="13"/>
  <c r="BQ55" i="13"/>
  <c r="BR55" i="13"/>
  <c r="BS55" i="13"/>
  <c r="BT55" i="13"/>
  <c r="BU55" i="13"/>
  <c r="BV55" i="13"/>
  <c r="R58" i="13"/>
  <c r="AX58" i="13"/>
  <c r="BN58" i="13"/>
  <c r="BP58" i="13"/>
  <c r="BR58" i="13"/>
  <c r="BT58" i="13"/>
  <c r="BV58" i="13"/>
  <c r="AX59" i="13"/>
  <c r="BN59" i="13"/>
  <c r="BO59" i="13"/>
  <c r="BQ59" i="13"/>
  <c r="BR59" i="13"/>
  <c r="BS59" i="13"/>
  <c r="BT59" i="13"/>
  <c r="BU59" i="13"/>
  <c r="BV59" i="13"/>
  <c r="AT60" i="13"/>
  <c r="AX60" i="13"/>
  <c r="BN60" i="13"/>
  <c r="BO60" i="13"/>
  <c r="BP60" i="13"/>
  <c r="BQ60" i="13"/>
  <c r="BR60" i="13"/>
  <c r="BS60" i="13"/>
  <c r="BT60" i="13"/>
  <c r="BU60" i="13"/>
  <c r="BV60" i="13"/>
  <c r="AT61" i="13"/>
  <c r="AX61" i="13"/>
  <c r="BN61" i="13"/>
  <c r="BR61" i="13"/>
  <c r="BT61" i="13"/>
  <c r="BV61" i="13"/>
  <c r="AT62" i="13"/>
  <c r="AX62" i="13"/>
  <c r="BN62" i="13"/>
  <c r="BP62" i="13"/>
  <c r="BR62" i="13"/>
  <c r="BT62" i="13"/>
  <c r="BV62" i="13"/>
  <c r="AT63" i="13"/>
  <c r="AX63" i="13"/>
  <c r="BN63" i="13"/>
  <c r="BR63" i="13"/>
  <c r="BT63" i="13"/>
  <c r="BV63" i="13"/>
  <c r="AT64" i="13"/>
  <c r="AX64" i="13"/>
  <c r="BN64" i="13"/>
  <c r="BP64" i="13"/>
  <c r="BR64" i="13"/>
  <c r="BT64" i="13"/>
  <c r="BV64" i="13"/>
  <c r="AX65" i="13"/>
  <c r="BN65" i="13"/>
  <c r="BR65" i="13"/>
  <c r="BT65" i="13"/>
  <c r="BV65" i="13"/>
  <c r="AX66" i="13"/>
  <c r="BN66" i="13"/>
  <c r="BO66" i="13"/>
  <c r="BP66" i="13"/>
  <c r="BQ66" i="13"/>
  <c r="BR66" i="13"/>
  <c r="BS66" i="13"/>
  <c r="BT66" i="13"/>
  <c r="BU66" i="13"/>
  <c r="BV66" i="13"/>
  <c r="BW66" i="13"/>
  <c r="BX66" i="13"/>
  <c r="BY66" i="13"/>
  <c r="AX67" i="13"/>
  <c r="BN67" i="13"/>
  <c r="BR67" i="13"/>
  <c r="BT67" i="13"/>
  <c r="BV67" i="13"/>
  <c r="AX68" i="13"/>
  <c r="BN68" i="13"/>
  <c r="BP68" i="13"/>
  <c r="BR68" i="13"/>
  <c r="BT68" i="13"/>
  <c r="BV68" i="13"/>
  <c r="BN69" i="13"/>
  <c r="BR69" i="13"/>
  <c r="BT69" i="13"/>
  <c r="BV69" i="13"/>
  <c r="AX70" i="13"/>
  <c r="BN70" i="13"/>
  <c r="BR70" i="13"/>
  <c r="BT70" i="13"/>
  <c r="BV70" i="13"/>
  <c r="BN71" i="13"/>
  <c r="BR71" i="13"/>
  <c r="BT71" i="13"/>
  <c r="BV71" i="13"/>
  <c r="AX72" i="13"/>
  <c r="BN72" i="13"/>
  <c r="BP72" i="13"/>
  <c r="BR72" i="13"/>
  <c r="BT72" i="13"/>
  <c r="BV72" i="13"/>
  <c r="AX73" i="13"/>
  <c r="BN73" i="13"/>
  <c r="BP73" i="13"/>
  <c r="BR73" i="13"/>
  <c r="BT73" i="13"/>
  <c r="BV73" i="13"/>
  <c r="AX74" i="13"/>
  <c r="BN74" i="13"/>
  <c r="BP74" i="13"/>
  <c r="BR74" i="13"/>
  <c r="BT74" i="13"/>
  <c r="BV74" i="13"/>
  <c r="R75" i="13"/>
  <c r="BN75" i="13"/>
  <c r="BR75" i="13"/>
  <c r="BT75" i="13"/>
  <c r="BV75" i="13"/>
  <c r="AP76" i="13"/>
  <c r="AT76" i="13"/>
  <c r="AX76" i="13"/>
  <c r="BN76" i="13"/>
  <c r="BP76" i="13"/>
  <c r="BR76" i="13"/>
  <c r="BT76" i="13"/>
  <c r="BV76" i="13"/>
  <c r="AX77" i="13"/>
  <c r="BN77" i="13"/>
  <c r="BP77" i="13"/>
  <c r="BR77" i="13"/>
  <c r="BT77" i="13"/>
  <c r="BV77" i="13"/>
  <c r="AX78" i="13"/>
  <c r="BN78" i="13"/>
  <c r="BR78" i="13"/>
  <c r="BT78" i="13"/>
  <c r="BV78" i="13"/>
  <c r="R80" i="13"/>
  <c r="S80" i="13"/>
  <c r="T80" i="13"/>
  <c r="U80" i="13"/>
  <c r="V80" i="13"/>
  <c r="W80" i="13"/>
  <c r="X80" i="13"/>
  <c r="Y80" i="13"/>
  <c r="Z80" i="13"/>
  <c r="AA80" i="13"/>
  <c r="AB80" i="13"/>
  <c r="AC80" i="13"/>
  <c r="AD80" i="13"/>
  <c r="AE80" i="13"/>
  <c r="AF80" i="13"/>
  <c r="AG80" i="13"/>
  <c r="AH80" i="13"/>
  <c r="AI80" i="13"/>
  <c r="AJ80" i="13"/>
  <c r="AK80" i="13"/>
  <c r="AL80" i="13"/>
  <c r="AM80" i="13"/>
  <c r="AN80" i="13"/>
  <c r="AO80" i="13"/>
  <c r="AP80" i="13"/>
  <c r="AR80" i="13"/>
  <c r="AS80" i="13"/>
  <c r="AT80" i="13"/>
  <c r="AU80" i="13"/>
  <c r="AV80" i="13"/>
  <c r="AW80" i="13"/>
  <c r="AX80" i="13"/>
  <c r="AY80" i="13"/>
  <c r="AZ80" i="13"/>
  <c r="BA80" i="13"/>
  <c r="BB80" i="13"/>
  <c r="BC80" i="13"/>
  <c r="BD80" i="13"/>
  <c r="BE80" i="13"/>
  <c r="BF80" i="13"/>
  <c r="BG80" i="13"/>
  <c r="BH80" i="13"/>
  <c r="BI80" i="13"/>
  <c r="BJ80" i="13"/>
  <c r="BK80" i="13"/>
  <c r="BL80" i="13"/>
  <c r="BM80" i="13"/>
  <c r="BN80" i="13"/>
  <c r="BO80" i="13"/>
  <c r="BP80" i="13"/>
  <c r="BQ80" i="13"/>
  <c r="BR80" i="13"/>
  <c r="BS80" i="13"/>
  <c r="BT80" i="13"/>
  <c r="BU80" i="13"/>
  <c r="BV80" i="13"/>
  <c r="BW80" i="13"/>
  <c r="AX83" i="13"/>
  <c r="BN83" i="13"/>
  <c r="BP83" i="13"/>
  <c r="BR83" i="13"/>
  <c r="BT83" i="13"/>
  <c r="BV83" i="13"/>
  <c r="R85" i="13"/>
  <c r="S85" i="13"/>
  <c r="T85" i="13"/>
  <c r="U85" i="13"/>
  <c r="V85" i="13"/>
  <c r="W85" i="13"/>
  <c r="X85" i="13"/>
  <c r="Y85" i="13"/>
  <c r="Z85" i="13"/>
  <c r="AA85" i="13"/>
  <c r="AB85" i="13"/>
  <c r="AC85" i="13"/>
  <c r="AD85" i="13"/>
  <c r="AE85" i="13"/>
  <c r="AF85" i="13"/>
  <c r="AG85" i="13"/>
  <c r="AH85" i="13"/>
  <c r="AI85" i="13"/>
  <c r="AJ85" i="13"/>
  <c r="AK85" i="13"/>
  <c r="AL85" i="13"/>
  <c r="AM85" i="13"/>
  <c r="AN85" i="13"/>
  <c r="AO85" i="13"/>
  <c r="AP85" i="13"/>
  <c r="AR85" i="13"/>
  <c r="AS85" i="13"/>
  <c r="AT85" i="13"/>
  <c r="AU85" i="13"/>
  <c r="AV85" i="13"/>
  <c r="AW85" i="13"/>
  <c r="AX85" i="13"/>
  <c r="AY85" i="13"/>
  <c r="AZ85" i="13"/>
  <c r="BA85" i="13"/>
  <c r="BB85" i="13"/>
  <c r="BC85" i="13"/>
  <c r="BD85" i="13"/>
  <c r="BE85" i="13"/>
  <c r="BF85" i="13"/>
  <c r="BG85" i="13"/>
  <c r="BH85" i="13"/>
  <c r="BI85" i="13"/>
  <c r="BJ85" i="13"/>
  <c r="BK85" i="13"/>
  <c r="BL85" i="13"/>
  <c r="BM85" i="13"/>
  <c r="BN85" i="13"/>
  <c r="BO85" i="13"/>
  <c r="BP85" i="13"/>
  <c r="BQ85" i="13"/>
  <c r="BR85" i="13"/>
  <c r="BS85" i="13"/>
  <c r="BT85" i="13"/>
  <c r="BU85" i="13"/>
  <c r="BV85" i="13"/>
  <c r="AT87" i="13"/>
  <c r="BN87" i="13"/>
  <c r="BV87" i="13"/>
  <c r="AP89" i="13"/>
  <c r="AT89" i="13"/>
  <c r="AZ89" i="13"/>
  <c r="BD89" i="13"/>
  <c r="BN89" i="13"/>
  <c r="BP89" i="13"/>
  <c r="BR89" i="13"/>
  <c r="BT89" i="13"/>
  <c r="BV89" i="13"/>
  <c r="N91" i="13"/>
  <c r="P91" i="13"/>
  <c r="R91" i="13"/>
  <c r="S91" i="13"/>
  <c r="T91" i="13"/>
  <c r="U91" i="13"/>
  <c r="V91" i="13"/>
  <c r="W91" i="13"/>
  <c r="X91" i="13"/>
  <c r="Y91" i="13"/>
  <c r="Z91" i="13"/>
  <c r="AA91" i="13"/>
  <c r="AB91" i="13"/>
  <c r="AC91" i="13"/>
  <c r="AD91" i="13"/>
  <c r="AE91" i="13"/>
  <c r="AF91" i="13"/>
  <c r="AG91" i="13"/>
  <c r="AH91" i="13"/>
  <c r="AI91" i="13"/>
  <c r="AJ91" i="13"/>
  <c r="AK91" i="13"/>
  <c r="AL91" i="13"/>
  <c r="AM91" i="13"/>
  <c r="AN91" i="13"/>
  <c r="AO91" i="13"/>
  <c r="AP91" i="13"/>
  <c r="AR91" i="13"/>
  <c r="AS91" i="13"/>
  <c r="AT91" i="13"/>
  <c r="AU91" i="13"/>
  <c r="AV91" i="13"/>
  <c r="AW91" i="13"/>
  <c r="AX91" i="13"/>
  <c r="AY91" i="13"/>
  <c r="AZ91" i="13"/>
  <c r="BA91" i="13"/>
  <c r="BB91" i="13"/>
  <c r="BC91" i="13"/>
  <c r="BD91" i="13"/>
  <c r="BE91" i="13"/>
  <c r="BF91" i="13"/>
  <c r="BG91" i="13"/>
  <c r="BH91" i="13"/>
  <c r="BI91" i="13"/>
  <c r="BJ91" i="13"/>
  <c r="BK91" i="13"/>
  <c r="BL91" i="13"/>
  <c r="BM91" i="13"/>
  <c r="BN91" i="13"/>
  <c r="BO91" i="13"/>
  <c r="BP91" i="13"/>
  <c r="BQ91" i="13"/>
  <c r="BR91" i="13"/>
  <c r="BS91" i="13"/>
  <c r="BT91" i="13"/>
  <c r="BU91" i="13"/>
  <c r="BV91" i="13"/>
  <c r="BW91" i="13"/>
  <c r="AH95" i="13"/>
  <c r="BN95" i="13"/>
  <c r="BR95" i="13"/>
  <c r="BT95" i="13"/>
  <c r="BV95" i="13"/>
  <c r="AH96" i="13"/>
  <c r="BN96" i="13"/>
  <c r="BR96" i="13"/>
  <c r="BT96" i="13"/>
  <c r="BV96" i="13"/>
  <c r="BN97" i="13"/>
  <c r="BR97" i="13"/>
  <c r="BT97" i="13"/>
  <c r="BV97" i="13"/>
  <c r="R98" i="13"/>
  <c r="BN98" i="13"/>
  <c r="BR98" i="13"/>
  <c r="BT98" i="13"/>
  <c r="BV98" i="13"/>
  <c r="R99" i="13"/>
  <c r="BN99" i="13"/>
  <c r="BR99" i="13"/>
  <c r="BT99" i="13"/>
  <c r="BV99" i="13"/>
  <c r="R100" i="13"/>
  <c r="BN100" i="13"/>
  <c r="BR100" i="13"/>
  <c r="BT100" i="13"/>
  <c r="BV100" i="13"/>
  <c r="BR101" i="13"/>
  <c r="BV101" i="13"/>
  <c r="N102" i="13"/>
  <c r="P102" i="13"/>
  <c r="R102" i="13"/>
  <c r="T102" i="13"/>
  <c r="V102" i="13"/>
  <c r="X102" i="13"/>
  <c r="Z102" i="13"/>
  <c r="AB102" i="13"/>
  <c r="AD102" i="13"/>
  <c r="AF102" i="13"/>
  <c r="AH102" i="13"/>
  <c r="AJ102" i="13"/>
  <c r="AL102" i="13"/>
  <c r="AN102" i="13"/>
  <c r="AP102" i="13"/>
  <c r="AR102" i="13"/>
  <c r="AT102" i="13"/>
  <c r="AV102" i="13"/>
  <c r="AX102" i="13"/>
  <c r="AZ102" i="13"/>
  <c r="BB102" i="13"/>
  <c r="BD102" i="13"/>
  <c r="BF102" i="13"/>
  <c r="BH102" i="13"/>
  <c r="BJ102" i="13"/>
  <c r="BL102" i="13"/>
  <c r="BN102" i="13"/>
  <c r="BP102" i="13"/>
  <c r="BR102" i="13"/>
  <c r="BT102" i="13"/>
  <c r="BV102" i="13"/>
  <c r="BN105" i="13"/>
  <c r="BR105" i="13"/>
  <c r="BT105" i="13"/>
  <c r="BV105" i="13"/>
  <c r="BV106" i="13"/>
  <c r="N107" i="13"/>
  <c r="P107" i="13"/>
  <c r="R107" i="13"/>
  <c r="T107" i="13"/>
  <c r="V107" i="13"/>
  <c r="X107" i="13"/>
  <c r="Z107" i="13"/>
  <c r="AB107" i="13"/>
  <c r="AD107" i="13"/>
  <c r="AF107" i="13"/>
  <c r="AH107" i="13"/>
  <c r="AJ107" i="13"/>
  <c r="AL107" i="13"/>
  <c r="AN107" i="13"/>
  <c r="AP107" i="13"/>
  <c r="AR107" i="13"/>
  <c r="AT107" i="13"/>
  <c r="AV107" i="13"/>
  <c r="AX107" i="13"/>
  <c r="AZ107" i="13"/>
  <c r="BB107" i="13"/>
  <c r="BD107" i="13"/>
  <c r="BF107" i="13"/>
  <c r="BH107" i="13"/>
  <c r="BJ107" i="13"/>
  <c r="BL107" i="13"/>
  <c r="BN107" i="13"/>
  <c r="BP107" i="13"/>
  <c r="BR107" i="13"/>
  <c r="BT107" i="13"/>
  <c r="BV107" i="13"/>
  <c r="BN112" i="13"/>
  <c r="BR112" i="13"/>
  <c r="BT112" i="13"/>
  <c r="BV112" i="13"/>
  <c r="AX113" i="13"/>
  <c r="BN113" i="13"/>
  <c r="BR113" i="13"/>
  <c r="BT113" i="13"/>
  <c r="BV113" i="13"/>
  <c r="BN114" i="13"/>
  <c r="BR114" i="13"/>
  <c r="BT114" i="13"/>
  <c r="BV114" i="13"/>
  <c r="N115" i="13"/>
  <c r="P115" i="13"/>
  <c r="R115" i="13"/>
  <c r="T115" i="13"/>
  <c r="V115" i="13"/>
  <c r="X115" i="13"/>
  <c r="Z115" i="13"/>
  <c r="AB115" i="13"/>
  <c r="AD115" i="13"/>
  <c r="AF115" i="13"/>
  <c r="AH115" i="13"/>
  <c r="AJ115" i="13"/>
  <c r="AL115" i="13"/>
  <c r="AN115" i="13"/>
  <c r="AP115" i="13"/>
  <c r="AR115" i="13"/>
  <c r="AT115" i="13"/>
  <c r="AV115" i="13"/>
  <c r="AX115" i="13"/>
  <c r="AZ115" i="13"/>
  <c r="BB115" i="13"/>
  <c r="BD115" i="13"/>
  <c r="BF115" i="13"/>
  <c r="BH115" i="13"/>
  <c r="BJ115" i="13"/>
  <c r="BL115" i="13"/>
  <c r="BN115" i="13"/>
  <c r="BP115" i="13"/>
  <c r="BR115" i="13"/>
  <c r="BT115" i="13"/>
  <c r="BV115" i="13"/>
  <c r="BN117" i="13"/>
  <c r="BR117" i="13"/>
  <c r="BT117" i="13"/>
  <c r="BV117" i="13"/>
  <c r="BN119" i="13"/>
  <c r="BR119" i="13"/>
  <c r="BT119" i="13"/>
  <c r="BV119" i="13"/>
  <c r="BN121" i="13"/>
  <c r="BR121" i="13"/>
  <c r="BT121" i="13"/>
  <c r="BV121" i="13"/>
  <c r="BJ123" i="13"/>
  <c r="BN123" i="13"/>
  <c r="BR123" i="13"/>
  <c r="BT123" i="13"/>
  <c r="BV123" i="13"/>
  <c r="BN126" i="13"/>
  <c r="BR126" i="13"/>
  <c r="BT126" i="13"/>
  <c r="BV126" i="13"/>
  <c r="BN127" i="13"/>
  <c r="BR127" i="13"/>
  <c r="BT127" i="13"/>
  <c r="BV127" i="13"/>
  <c r="R128" i="13"/>
  <c r="AL128" i="13"/>
  <c r="AN128" i="13"/>
  <c r="AV128" i="13"/>
  <c r="BN128" i="13"/>
  <c r="BP128" i="13"/>
  <c r="BR128" i="13"/>
  <c r="BT128" i="13"/>
  <c r="BV128" i="13"/>
  <c r="BR129" i="13"/>
  <c r="BT129" i="13"/>
  <c r="BV129" i="13"/>
  <c r="N130" i="13"/>
  <c r="P130" i="13"/>
  <c r="R130" i="13"/>
  <c r="T130" i="13"/>
  <c r="V130" i="13"/>
  <c r="X130" i="13"/>
  <c r="Z130" i="13"/>
  <c r="AB130" i="13"/>
  <c r="AD130" i="13"/>
  <c r="AF130" i="13"/>
  <c r="AH130" i="13"/>
  <c r="AJ130" i="13"/>
  <c r="AL130" i="13"/>
  <c r="AN130" i="13"/>
  <c r="AP130" i="13"/>
  <c r="AR130" i="13"/>
  <c r="AT130" i="13"/>
  <c r="AV130" i="13"/>
  <c r="AX130" i="13"/>
  <c r="AZ130" i="13"/>
  <c r="BB130" i="13"/>
  <c r="BD130" i="13"/>
  <c r="BF130" i="13"/>
  <c r="BH130" i="13"/>
  <c r="BJ130" i="13"/>
  <c r="BL130" i="13"/>
  <c r="BN130" i="13"/>
  <c r="BP130" i="13"/>
  <c r="BR130" i="13"/>
  <c r="BT130" i="13"/>
  <c r="BV130" i="13"/>
  <c r="BN133" i="13"/>
  <c r="BR133" i="13"/>
  <c r="BT133" i="13"/>
  <c r="BV133" i="13"/>
  <c r="BN134" i="13"/>
  <c r="BR134" i="13"/>
  <c r="BT134" i="13"/>
  <c r="BV134" i="13"/>
  <c r="Z135" i="13"/>
  <c r="AB135" i="13"/>
  <c r="AR135" i="13"/>
  <c r="BH135" i="13"/>
  <c r="BN135" i="13"/>
  <c r="BR135" i="13"/>
  <c r="BT135" i="13"/>
  <c r="BV135" i="13"/>
  <c r="N137" i="13"/>
  <c r="P137" i="13"/>
  <c r="R137" i="13"/>
  <c r="T137" i="13"/>
  <c r="V137" i="13"/>
  <c r="X137" i="13"/>
  <c r="Z137" i="13"/>
  <c r="AB137" i="13"/>
  <c r="AD137" i="13"/>
  <c r="AF137" i="13"/>
  <c r="AH137" i="13"/>
  <c r="AJ137" i="13"/>
  <c r="AL137" i="13"/>
  <c r="AN137" i="13"/>
  <c r="AP137" i="13"/>
  <c r="AR137" i="13"/>
  <c r="AT137" i="13"/>
  <c r="AV137" i="13"/>
  <c r="AX137" i="13"/>
  <c r="AZ137" i="13"/>
  <c r="BB137" i="13"/>
  <c r="BD137" i="13"/>
  <c r="BF137" i="13"/>
  <c r="BH137" i="13"/>
  <c r="BJ137" i="13"/>
  <c r="BL137" i="13"/>
  <c r="BN137" i="13"/>
  <c r="BP137" i="13"/>
  <c r="BR137" i="13"/>
  <c r="BT137" i="13"/>
  <c r="BV137" i="13"/>
  <c r="BH139" i="13"/>
  <c r="BJ139" i="13"/>
  <c r="BN139" i="13"/>
  <c r="BR139" i="13"/>
  <c r="BT139" i="13"/>
  <c r="BV139" i="13"/>
  <c r="BN141" i="13"/>
  <c r="BR141" i="13"/>
  <c r="BT141" i="13"/>
  <c r="BV141" i="13"/>
  <c r="R144" i="13"/>
  <c r="BN144" i="13"/>
  <c r="BR144" i="13"/>
  <c r="BT144" i="13"/>
  <c r="BV144" i="13"/>
  <c r="BN145" i="13"/>
  <c r="BR145" i="13"/>
  <c r="BT145" i="13"/>
  <c r="BV145" i="13"/>
  <c r="BN146" i="13"/>
  <c r="BR146" i="13"/>
  <c r="BT146" i="13"/>
  <c r="BV146" i="13"/>
  <c r="N147" i="13"/>
  <c r="P147" i="13"/>
  <c r="R147" i="13"/>
  <c r="T147" i="13"/>
  <c r="V147" i="13"/>
  <c r="X147" i="13"/>
  <c r="Z147" i="13"/>
  <c r="AB147" i="13"/>
  <c r="AD147" i="13"/>
  <c r="AF147" i="13"/>
  <c r="AH147" i="13"/>
  <c r="AJ147" i="13"/>
  <c r="AL147" i="13"/>
  <c r="AN147" i="13"/>
  <c r="AP147" i="13"/>
  <c r="AR147" i="13"/>
  <c r="AT147" i="13"/>
  <c r="AV147" i="13"/>
  <c r="AX147" i="13"/>
  <c r="AZ147" i="13"/>
  <c r="BB147" i="13"/>
  <c r="BD147" i="13"/>
  <c r="BF147" i="13"/>
  <c r="BH147" i="13"/>
  <c r="BJ147" i="13"/>
  <c r="BL147" i="13"/>
  <c r="BN147" i="13"/>
  <c r="BP147" i="13"/>
  <c r="BR147" i="13"/>
  <c r="BT147" i="13"/>
  <c r="BV147" i="13"/>
  <c r="BN149" i="13"/>
  <c r="BR149" i="13"/>
  <c r="BT149" i="13"/>
  <c r="BV149" i="13"/>
  <c r="AB151" i="13"/>
  <c r="AD151" i="13"/>
  <c r="BN151" i="13"/>
  <c r="BR151" i="13"/>
  <c r="BT151" i="13"/>
  <c r="BV151" i="13"/>
  <c r="BN154" i="13"/>
  <c r="BR154" i="13"/>
  <c r="BT154" i="13"/>
  <c r="BV154" i="13"/>
  <c r="Z155" i="13"/>
  <c r="AD155" i="13"/>
  <c r="BN155" i="13"/>
  <c r="BR155" i="13"/>
  <c r="BT155" i="13"/>
  <c r="BV155" i="13"/>
  <c r="BN156" i="13"/>
  <c r="BR156" i="13"/>
  <c r="BT156" i="13"/>
  <c r="BV156" i="13"/>
  <c r="P157" i="13"/>
  <c r="AD157" i="13"/>
  <c r="AP157" i="13"/>
  <c r="AR157" i="13"/>
  <c r="AZ157" i="13"/>
  <c r="BB157" i="13"/>
  <c r="BD157" i="13"/>
  <c r="BH157" i="13"/>
  <c r="BJ157" i="13"/>
  <c r="BN157" i="13"/>
  <c r="BR157" i="13"/>
  <c r="BT157" i="13"/>
  <c r="BV157" i="13"/>
  <c r="AR158" i="13"/>
  <c r="BN158" i="13"/>
  <c r="BR158" i="13"/>
  <c r="BT158" i="13"/>
  <c r="BV158" i="13"/>
  <c r="AH159" i="13"/>
  <c r="BN159" i="13"/>
  <c r="BR159" i="13"/>
  <c r="BT159" i="13"/>
  <c r="BV159" i="13"/>
  <c r="N160" i="13"/>
  <c r="P160" i="13"/>
  <c r="R160" i="13"/>
  <c r="S160" i="13"/>
  <c r="T160" i="13"/>
  <c r="U160" i="13"/>
  <c r="V160" i="13"/>
  <c r="W160" i="13"/>
  <c r="X160" i="13"/>
  <c r="Y160" i="13"/>
  <c r="Z160" i="13"/>
  <c r="AA160" i="13"/>
  <c r="AB160" i="13"/>
  <c r="AC160" i="13"/>
  <c r="AD160" i="13"/>
  <c r="AE160" i="13"/>
  <c r="AF160" i="13"/>
  <c r="AG160" i="13"/>
  <c r="AH160" i="13"/>
  <c r="AI160" i="13"/>
  <c r="AJ160" i="13"/>
  <c r="AK160" i="13"/>
  <c r="AL160" i="13"/>
  <c r="AM160" i="13"/>
  <c r="AN160" i="13"/>
  <c r="AO160" i="13"/>
  <c r="AP160" i="13"/>
  <c r="AR160" i="13"/>
  <c r="AS160" i="13"/>
  <c r="AT160" i="13"/>
  <c r="AU160" i="13"/>
  <c r="AV160" i="13"/>
  <c r="AW160" i="13"/>
  <c r="AX160" i="13"/>
  <c r="AY160" i="13"/>
  <c r="AZ160" i="13"/>
  <c r="BA160" i="13"/>
  <c r="BB160" i="13"/>
  <c r="BC160" i="13"/>
  <c r="BD160" i="13"/>
  <c r="BE160" i="13"/>
  <c r="BF160" i="13"/>
  <c r="BG160" i="13"/>
  <c r="BH160" i="13"/>
  <c r="BI160" i="13"/>
  <c r="BJ160" i="13"/>
  <c r="BK160" i="13"/>
  <c r="BL160" i="13"/>
  <c r="BM160" i="13"/>
  <c r="BN160" i="13"/>
  <c r="BO160" i="13"/>
  <c r="BP160" i="13"/>
  <c r="BQ160" i="13"/>
  <c r="BR160" i="13"/>
  <c r="BS160" i="13"/>
  <c r="BT160" i="13"/>
  <c r="BU160" i="13"/>
  <c r="BV160" i="13"/>
  <c r="P163" i="13"/>
  <c r="BN163" i="13"/>
  <c r="BR163" i="13"/>
  <c r="BT163" i="13"/>
  <c r="BV163" i="13"/>
  <c r="AR164" i="13"/>
  <c r="BN164" i="13"/>
  <c r="BR164" i="13"/>
  <c r="BT164" i="13"/>
  <c r="BV164" i="13"/>
  <c r="AR165" i="13"/>
  <c r="BD165" i="13"/>
  <c r="BJ165" i="13"/>
  <c r="BN165" i="13"/>
  <c r="BR165" i="13"/>
  <c r="BT165" i="13"/>
  <c r="BV165" i="13"/>
  <c r="BN166" i="13"/>
  <c r="BR166" i="13"/>
  <c r="BT166" i="13"/>
  <c r="BV166" i="13"/>
  <c r="N167" i="13"/>
  <c r="O167" i="13"/>
  <c r="P167" i="13"/>
  <c r="Q167" i="13"/>
  <c r="R167" i="13"/>
  <c r="T167" i="13"/>
  <c r="V167" i="13"/>
  <c r="X167" i="13"/>
  <c r="Z167" i="13"/>
  <c r="AB167" i="13"/>
  <c r="AD167" i="13"/>
  <c r="AF167" i="13"/>
  <c r="AH167" i="13"/>
  <c r="AJ167" i="13"/>
  <c r="AL167" i="13"/>
  <c r="AN167" i="13"/>
  <c r="AP167" i="13"/>
  <c r="AR167" i="13"/>
  <c r="AT167" i="13"/>
  <c r="AV167" i="13"/>
  <c r="AX167" i="13"/>
  <c r="AZ167" i="13"/>
  <c r="BB167" i="13"/>
  <c r="BD167" i="13"/>
  <c r="BF167" i="13"/>
  <c r="BH167" i="13"/>
  <c r="BJ167" i="13"/>
  <c r="BL167" i="13"/>
  <c r="BN167" i="13"/>
  <c r="BP167" i="13"/>
  <c r="BR167" i="13"/>
  <c r="BT167" i="13"/>
  <c r="BV167" i="13"/>
  <c r="P169" i="13"/>
  <c r="V169" i="13"/>
  <c r="Z169" i="13"/>
  <c r="AD169" i="13"/>
  <c r="AF169" i="13"/>
  <c r="AH169" i="13"/>
  <c r="AJ169" i="13"/>
  <c r="AL169" i="13"/>
  <c r="AN169" i="13"/>
  <c r="AP169" i="13"/>
  <c r="AR169" i="13"/>
  <c r="AT169" i="13"/>
  <c r="AV169" i="13"/>
  <c r="AX169" i="13"/>
  <c r="BB169" i="13"/>
  <c r="BN169" i="13"/>
  <c r="BT169" i="13"/>
  <c r="BV169" i="13"/>
  <c r="R171" i="13"/>
  <c r="S171" i="13"/>
  <c r="T171" i="13"/>
  <c r="U171" i="13"/>
  <c r="V171" i="13"/>
  <c r="W171" i="13"/>
  <c r="X171" i="13"/>
  <c r="Y171" i="13"/>
  <c r="Z171" i="13"/>
  <c r="AA171" i="13"/>
  <c r="AB171" i="13"/>
  <c r="AC171" i="13"/>
  <c r="AD171" i="13"/>
  <c r="AE171" i="13"/>
  <c r="AF171" i="13"/>
  <c r="AG171" i="13"/>
  <c r="AH171" i="13"/>
  <c r="AI171" i="13"/>
  <c r="AJ171" i="13"/>
  <c r="AK171" i="13"/>
  <c r="AL171" i="13"/>
  <c r="AM171" i="13"/>
  <c r="AN171" i="13"/>
  <c r="AO171" i="13"/>
  <c r="AP171" i="13"/>
  <c r="AR171" i="13"/>
  <c r="AS171" i="13"/>
  <c r="AT171" i="13"/>
  <c r="AU171" i="13"/>
  <c r="AV171" i="13"/>
  <c r="AW171" i="13"/>
  <c r="AX171" i="13"/>
  <c r="AY171" i="13"/>
  <c r="AZ171" i="13"/>
  <c r="BA171" i="13"/>
  <c r="BB171" i="13"/>
  <c r="BC171" i="13"/>
  <c r="BD171" i="13"/>
  <c r="BE171" i="13"/>
  <c r="BF171" i="13"/>
  <c r="BG171" i="13"/>
  <c r="BH171" i="13"/>
  <c r="BI171" i="13"/>
  <c r="BJ171" i="13"/>
  <c r="BK171" i="13"/>
  <c r="BL171" i="13"/>
  <c r="BM171" i="13"/>
  <c r="BN171" i="13"/>
  <c r="BO171" i="13"/>
  <c r="BP171" i="13"/>
  <c r="BQ171" i="13"/>
  <c r="BR171" i="13"/>
  <c r="BS171" i="13"/>
  <c r="BT171" i="13"/>
  <c r="BU171" i="13"/>
  <c r="BV171" i="13"/>
  <c r="BW171" i="13"/>
  <c r="P173" i="13"/>
  <c r="R173" i="13"/>
  <c r="BR173" i="13"/>
  <c r="BT173" i="13"/>
  <c r="BV173" i="13"/>
  <c r="R176" i="13"/>
  <c r="S176" i="13"/>
  <c r="T176" i="13"/>
  <c r="U176" i="13"/>
  <c r="V176" i="13"/>
  <c r="W176" i="13"/>
  <c r="X176" i="13"/>
  <c r="Y176" i="13"/>
  <c r="Z176" i="13"/>
  <c r="AA176" i="13"/>
  <c r="AB176" i="13"/>
  <c r="AC176" i="13"/>
  <c r="AD176" i="13"/>
  <c r="AE176" i="13"/>
  <c r="AF176" i="13"/>
  <c r="AG176" i="13"/>
  <c r="AH176" i="13"/>
  <c r="AI176" i="13"/>
  <c r="AJ176" i="13"/>
  <c r="AK176" i="13"/>
  <c r="AL176" i="13"/>
  <c r="AM176" i="13"/>
  <c r="AN176" i="13"/>
  <c r="AO176" i="13"/>
  <c r="AP176" i="13"/>
  <c r="AR176" i="13"/>
  <c r="AS176" i="13"/>
  <c r="AT176" i="13"/>
  <c r="AU176" i="13"/>
  <c r="AV176" i="13"/>
  <c r="AW176" i="13"/>
  <c r="AX176" i="13"/>
  <c r="AY176" i="13"/>
  <c r="AZ176" i="13"/>
  <c r="BA176" i="13"/>
  <c r="BB176" i="13"/>
  <c r="BC176" i="13"/>
  <c r="BD176" i="13"/>
  <c r="BE176" i="13"/>
  <c r="BF176" i="13"/>
  <c r="BG176" i="13"/>
  <c r="BH176" i="13"/>
  <c r="BI176" i="13"/>
  <c r="BJ176" i="13"/>
  <c r="BK176" i="13"/>
  <c r="BL176" i="13"/>
  <c r="BM176" i="13"/>
  <c r="BN176" i="13"/>
  <c r="BO176" i="13"/>
  <c r="BP176" i="13"/>
  <c r="BQ176" i="13"/>
  <c r="BR176" i="13"/>
  <c r="BS176" i="13"/>
  <c r="BT176" i="13"/>
  <c r="BU176" i="13"/>
  <c r="BV176" i="13"/>
  <c r="BT177" i="13"/>
  <c r="T179" i="13"/>
  <c r="U179" i="13"/>
  <c r="V179" i="13"/>
  <c r="W179" i="13"/>
  <c r="X179" i="13"/>
  <c r="Y179" i="13"/>
  <c r="Z179" i="13"/>
  <c r="AA179" i="13"/>
  <c r="AB179" i="13"/>
  <c r="AC179" i="13"/>
  <c r="AD179" i="13"/>
  <c r="AE179" i="13"/>
  <c r="AF179" i="13"/>
  <c r="AG179" i="13"/>
  <c r="AH179" i="13"/>
  <c r="AI179" i="13"/>
  <c r="AJ179" i="13"/>
  <c r="AK179" i="13"/>
  <c r="AL179" i="13"/>
  <c r="AM179" i="13"/>
  <c r="AN179" i="13"/>
  <c r="AO179" i="13"/>
  <c r="AP179" i="13"/>
  <c r="AR179" i="13"/>
  <c r="AS179" i="13"/>
  <c r="AT179" i="13"/>
  <c r="AU179" i="13"/>
  <c r="AV179" i="13"/>
  <c r="AW179" i="13"/>
  <c r="AX179" i="13"/>
  <c r="AY179" i="13"/>
  <c r="AZ179" i="13"/>
  <c r="BA179" i="13"/>
  <c r="BB179" i="13"/>
  <c r="BC179" i="13"/>
  <c r="BD179" i="13"/>
  <c r="BE179" i="13"/>
  <c r="BF179" i="13"/>
  <c r="BG179" i="13"/>
  <c r="BH179" i="13"/>
  <c r="BN179" i="13"/>
  <c r="T180" i="13"/>
  <c r="U180" i="13"/>
  <c r="V180" i="13"/>
  <c r="W180" i="13"/>
  <c r="X180" i="13"/>
  <c r="Y180" i="13"/>
  <c r="Z180" i="13"/>
  <c r="AA180" i="13"/>
  <c r="AB180" i="13"/>
  <c r="AC180" i="13"/>
  <c r="AD180" i="13"/>
  <c r="AE180" i="13"/>
  <c r="AF180" i="13"/>
  <c r="AG180" i="13"/>
  <c r="AH180" i="13"/>
  <c r="AI180" i="13"/>
  <c r="AJ180" i="13"/>
  <c r="AK180" i="13"/>
  <c r="AL180" i="13"/>
  <c r="AM180" i="13"/>
  <c r="AN180" i="13"/>
  <c r="AO180" i="13"/>
  <c r="AP180" i="13"/>
  <c r="AR180" i="13"/>
  <c r="AS180" i="13"/>
  <c r="AT180" i="13"/>
  <c r="AU180" i="13"/>
  <c r="AV180" i="13"/>
  <c r="AW180" i="13"/>
  <c r="AX180" i="13"/>
  <c r="AY180" i="13"/>
  <c r="AZ180" i="13"/>
  <c r="BA180" i="13"/>
  <c r="BB180" i="13"/>
  <c r="BC180" i="13"/>
  <c r="BD180" i="13"/>
  <c r="BE180" i="13"/>
  <c r="BF180" i="13"/>
  <c r="BG180" i="13"/>
  <c r="BH180" i="13"/>
  <c r="BN180" i="13"/>
  <c r="BN181" i="13"/>
  <c r="BD182" i="13"/>
  <c r="T183" i="13"/>
  <c r="U183" i="13"/>
  <c r="V183" i="13"/>
  <c r="W183" i="13"/>
  <c r="X183" i="13"/>
  <c r="Y183" i="13"/>
  <c r="Z183" i="13"/>
  <c r="AA183" i="13"/>
  <c r="AB183" i="13"/>
  <c r="AC183" i="13"/>
  <c r="AD183" i="13"/>
  <c r="AE183" i="13"/>
  <c r="AF183" i="13"/>
  <c r="AG183" i="13"/>
  <c r="AH183" i="13"/>
  <c r="AI183" i="13"/>
  <c r="AJ183" i="13"/>
  <c r="AK183" i="13"/>
  <c r="AL183" i="13"/>
  <c r="AM183" i="13"/>
  <c r="AN183" i="13"/>
  <c r="AO183" i="13"/>
  <c r="AP183" i="13"/>
  <c r="AR183" i="13"/>
  <c r="AS183" i="13"/>
  <c r="AT183" i="13"/>
  <c r="AU183" i="13"/>
  <c r="AV183" i="13"/>
  <c r="AW183" i="13"/>
  <c r="AX183" i="13"/>
  <c r="AY183" i="13"/>
  <c r="AZ183" i="13"/>
  <c r="BA183" i="13"/>
  <c r="BB183" i="13"/>
  <c r="BC183" i="13"/>
  <c r="BD183" i="13"/>
  <c r="BE183" i="13"/>
  <c r="BF183" i="13"/>
  <c r="BG183" i="13"/>
  <c r="BH183" i="13"/>
  <c r="BN183" i="13"/>
  <c r="BD184" i="13"/>
  <c r="BD186" i="13"/>
  <c r="BN186" i="13"/>
  <c r="BD187" i="13"/>
  <c r="A1" i="12"/>
  <c r="A2" i="12"/>
  <c r="BV2" i="12"/>
  <c r="BR3" i="12"/>
  <c r="BV3" i="12"/>
  <c r="BX3" i="12"/>
  <c r="B4" i="12"/>
  <c r="A5" i="12"/>
  <c r="N7" i="12"/>
  <c r="R7" i="12"/>
  <c r="T7" i="12"/>
  <c r="V7" i="12"/>
  <c r="X7" i="12"/>
  <c r="Z7" i="12"/>
  <c r="AB7" i="12"/>
  <c r="AD7" i="12"/>
  <c r="AF7" i="12"/>
  <c r="AH7" i="12"/>
  <c r="AJ7" i="12"/>
  <c r="AL7" i="12"/>
  <c r="AN7" i="12"/>
  <c r="AP7" i="12"/>
  <c r="AR7" i="12"/>
  <c r="AT7" i="12"/>
  <c r="AV7" i="12"/>
  <c r="AX7" i="12"/>
  <c r="BD7" i="12"/>
  <c r="BF7" i="12"/>
  <c r="BH7" i="12"/>
  <c r="BJ7" i="12"/>
  <c r="BL7" i="12"/>
  <c r="BN7" i="12"/>
  <c r="BP7" i="12"/>
  <c r="BN9" i="12"/>
  <c r="BP9" i="12"/>
  <c r="BR9" i="12"/>
  <c r="BT9" i="12"/>
  <c r="BV9" i="12"/>
  <c r="BN10" i="12"/>
  <c r="BR10" i="12"/>
  <c r="BT10" i="12"/>
  <c r="BV10" i="12"/>
  <c r="BR11" i="12"/>
  <c r="N12" i="12"/>
  <c r="P12" i="12"/>
  <c r="R12" i="12"/>
  <c r="T12" i="12"/>
  <c r="V12" i="12"/>
  <c r="X12" i="12"/>
  <c r="Z12" i="12"/>
  <c r="AB12" i="12"/>
  <c r="AD12" i="12"/>
  <c r="AF12" i="12"/>
  <c r="AH12" i="12"/>
  <c r="AJ12" i="12"/>
  <c r="AL12" i="12"/>
  <c r="AN12" i="12"/>
  <c r="AP12" i="12"/>
  <c r="AR12" i="12"/>
  <c r="AT12" i="12"/>
  <c r="AV12" i="12"/>
  <c r="AX12" i="12"/>
  <c r="AZ12" i="12"/>
  <c r="BB12" i="12"/>
  <c r="BD12" i="12"/>
  <c r="BF12" i="12"/>
  <c r="BH12" i="12"/>
  <c r="BJ12" i="12"/>
  <c r="BL12" i="12"/>
  <c r="BN12" i="12"/>
  <c r="BP12" i="12"/>
  <c r="BR12" i="12"/>
  <c r="BT12" i="12"/>
  <c r="BV12" i="12"/>
  <c r="R14" i="12"/>
  <c r="BN14" i="12"/>
  <c r="BR14" i="12"/>
  <c r="BT14" i="12"/>
  <c r="BV14" i="12"/>
  <c r="AH15" i="12"/>
  <c r="BN15" i="12"/>
  <c r="BP15" i="12"/>
  <c r="BR15" i="12"/>
  <c r="BT15" i="12"/>
  <c r="BV15" i="12"/>
  <c r="BR16" i="12"/>
  <c r="BT16" i="12"/>
  <c r="BV16" i="12"/>
  <c r="BR17" i="12"/>
  <c r="BT17" i="12"/>
  <c r="BV17" i="12"/>
  <c r="BR18" i="12"/>
  <c r="BT18" i="12"/>
  <c r="BV18" i="12"/>
  <c r="BR19" i="12"/>
  <c r="BT19" i="12"/>
  <c r="BV19" i="12"/>
  <c r="BR20" i="12"/>
  <c r="BT20" i="12"/>
  <c r="BV20" i="12"/>
  <c r="R21" i="12"/>
  <c r="BN21" i="12"/>
  <c r="BR21" i="12"/>
  <c r="BT21" i="12"/>
  <c r="BV21" i="12"/>
  <c r="R22" i="12"/>
  <c r="BN22" i="12"/>
  <c r="BR22" i="12"/>
  <c r="BT22" i="12"/>
  <c r="BV22" i="12"/>
  <c r="R23" i="12"/>
  <c r="BN23" i="12"/>
  <c r="BR23" i="12"/>
  <c r="BT23" i="12"/>
  <c r="BV23" i="12"/>
  <c r="R24" i="12"/>
  <c r="BN24" i="12"/>
  <c r="BR24" i="12"/>
  <c r="BT24" i="12"/>
  <c r="BV24" i="12"/>
  <c r="R25" i="12"/>
  <c r="BN25" i="12"/>
  <c r="BR25" i="12"/>
  <c r="BT25" i="12"/>
  <c r="BV25" i="12"/>
  <c r="R26" i="12"/>
  <c r="BN26" i="12"/>
  <c r="BR26" i="12"/>
  <c r="BT26" i="12"/>
  <c r="BV26" i="12"/>
  <c r="R27" i="12"/>
  <c r="BN27" i="12"/>
  <c r="BR27" i="12"/>
  <c r="BT27" i="12"/>
  <c r="BV27" i="12"/>
  <c r="R28" i="12"/>
  <c r="BN28" i="12"/>
  <c r="BR28" i="12"/>
  <c r="BT28" i="12"/>
  <c r="BV28" i="12"/>
  <c r="BN29" i="12"/>
  <c r="BR29" i="12"/>
  <c r="BT29" i="12"/>
  <c r="BV29" i="12"/>
  <c r="BR30" i="12"/>
  <c r="BT30" i="12"/>
  <c r="BV30" i="12"/>
  <c r="N31" i="12"/>
  <c r="P31" i="12"/>
  <c r="R31" i="12"/>
  <c r="T31" i="12"/>
  <c r="V31" i="12"/>
  <c r="X31" i="12"/>
  <c r="Z31" i="12"/>
  <c r="AB31" i="12"/>
  <c r="AD31" i="12"/>
  <c r="AF31" i="12"/>
  <c r="AH31" i="12"/>
  <c r="AJ31" i="12"/>
  <c r="AL31" i="12"/>
  <c r="AN31" i="12"/>
  <c r="AP31" i="12"/>
  <c r="AR31" i="12"/>
  <c r="AT31" i="12"/>
  <c r="AV31" i="12"/>
  <c r="AX31" i="12"/>
  <c r="AZ31" i="12"/>
  <c r="BB31" i="12"/>
  <c r="BD31" i="12"/>
  <c r="BF31" i="12"/>
  <c r="BH31" i="12"/>
  <c r="BJ31" i="12"/>
  <c r="BL31" i="12"/>
  <c r="BN31" i="12"/>
  <c r="BP31" i="12"/>
  <c r="BR31" i="12"/>
  <c r="BT31" i="12"/>
  <c r="BV31" i="12"/>
  <c r="N33" i="12"/>
  <c r="P33" i="12"/>
  <c r="R33" i="12"/>
  <c r="T33" i="12"/>
  <c r="V33" i="12"/>
  <c r="X33" i="12"/>
  <c r="Z33" i="12"/>
  <c r="AB33" i="12"/>
  <c r="AD33" i="12"/>
  <c r="AF33" i="12"/>
  <c r="AH33" i="12"/>
  <c r="AJ33" i="12"/>
  <c r="AL33" i="12"/>
  <c r="AN33" i="12"/>
  <c r="AP33" i="12"/>
  <c r="AR33" i="12"/>
  <c r="AT33" i="12"/>
  <c r="AV33" i="12"/>
  <c r="AX33" i="12"/>
  <c r="AZ33" i="12"/>
  <c r="BB33" i="12"/>
  <c r="BD33" i="12"/>
  <c r="BF33" i="12"/>
  <c r="BH33" i="12"/>
  <c r="BJ33" i="12"/>
  <c r="BL33" i="12"/>
  <c r="BN33" i="12"/>
  <c r="BP33" i="12"/>
  <c r="BR33" i="12"/>
  <c r="BT33" i="12"/>
  <c r="BV33" i="12"/>
  <c r="AR39" i="12"/>
  <c r="AT39" i="12"/>
  <c r="AX39" i="12"/>
  <c r="BD39" i="12"/>
  <c r="BF39" i="12"/>
  <c r="BJ39" i="12"/>
  <c r="BN39" i="12"/>
  <c r="BP39" i="12"/>
  <c r="BR39" i="12"/>
  <c r="BT39" i="12"/>
  <c r="BV39" i="12"/>
  <c r="AP40" i="12"/>
  <c r="AR40" i="12"/>
  <c r="AT40" i="12"/>
  <c r="AX40" i="12"/>
  <c r="BD40" i="12"/>
  <c r="BF40" i="12"/>
  <c r="BJ40" i="12"/>
  <c r="BN40" i="12"/>
  <c r="BP40" i="12"/>
  <c r="BR40" i="12"/>
  <c r="BT40" i="12"/>
  <c r="BV40" i="12"/>
  <c r="AP41" i="12"/>
  <c r="AR41" i="12"/>
  <c r="AT41" i="12"/>
  <c r="AX41" i="12"/>
  <c r="BD41" i="12"/>
  <c r="BF41" i="12"/>
  <c r="BJ41" i="12"/>
  <c r="BN41" i="12"/>
  <c r="BP41" i="12"/>
  <c r="BR41" i="12"/>
  <c r="BT41" i="12"/>
  <c r="BV41" i="12"/>
  <c r="R42" i="12"/>
  <c r="AP42" i="12"/>
  <c r="AR42" i="12"/>
  <c r="AT42" i="12"/>
  <c r="AX42" i="12"/>
  <c r="BD42" i="12"/>
  <c r="BF42" i="12"/>
  <c r="BJ42" i="12"/>
  <c r="BN42" i="12"/>
  <c r="BP42" i="12"/>
  <c r="BR42" i="12"/>
  <c r="BT42" i="12"/>
  <c r="BV42" i="12"/>
  <c r="AR43" i="12"/>
  <c r="AT43" i="12"/>
  <c r="AX43" i="12"/>
  <c r="BD43" i="12"/>
  <c r="BJ43" i="12"/>
  <c r="BN43" i="12"/>
  <c r="BP43" i="12"/>
  <c r="BR43" i="12"/>
  <c r="BT43" i="12"/>
  <c r="BV43" i="12"/>
  <c r="BN44" i="12"/>
  <c r="BP44" i="12"/>
  <c r="BR44" i="12"/>
  <c r="BT44" i="12"/>
  <c r="BV44" i="12"/>
  <c r="BN45" i="12"/>
  <c r="BP45" i="12"/>
  <c r="BR45" i="12"/>
  <c r="BT45" i="12"/>
  <c r="BV45" i="12"/>
  <c r="R46" i="12"/>
  <c r="S46" i="12"/>
  <c r="T46" i="12"/>
  <c r="U46" i="12"/>
  <c r="V46" i="12"/>
  <c r="W46" i="12"/>
  <c r="X46" i="12"/>
  <c r="Y46" i="12"/>
  <c r="Z46" i="12"/>
  <c r="AA46" i="12"/>
  <c r="AB46" i="12"/>
  <c r="AC46" i="12"/>
  <c r="AD46" i="12"/>
  <c r="AF46" i="12"/>
  <c r="AH46" i="12"/>
  <c r="AJ46" i="12"/>
  <c r="AK46" i="12"/>
  <c r="AL46" i="12"/>
  <c r="AM46" i="12"/>
  <c r="AN46" i="12"/>
  <c r="AO46" i="12"/>
  <c r="AP46" i="12"/>
  <c r="AQ46" i="12"/>
  <c r="AR46" i="12"/>
  <c r="AS46" i="12"/>
  <c r="AT46" i="12"/>
  <c r="AU46" i="12"/>
  <c r="AV46" i="12"/>
  <c r="AW46" i="12"/>
  <c r="AX46" i="12"/>
  <c r="AY46" i="12"/>
  <c r="AZ46" i="12"/>
  <c r="BA46" i="12"/>
  <c r="BB46" i="12"/>
  <c r="BD46" i="12"/>
  <c r="BF46" i="12"/>
  <c r="BH46" i="12"/>
  <c r="BJ46" i="12"/>
  <c r="BL46" i="12"/>
  <c r="BN46" i="12"/>
  <c r="BP46" i="12"/>
  <c r="BR46" i="12"/>
  <c r="BS46" i="12"/>
  <c r="BT46" i="12"/>
  <c r="BU46" i="12"/>
  <c r="BV46" i="12"/>
  <c r="AT49" i="12"/>
  <c r="AX49" i="12"/>
  <c r="BD49" i="12"/>
  <c r="BF49" i="12"/>
  <c r="BJ49" i="12"/>
  <c r="BN49" i="12"/>
  <c r="BP49" i="12"/>
  <c r="BR49" i="12"/>
  <c r="BT49" i="12"/>
  <c r="BV49" i="12"/>
  <c r="AR50" i="12"/>
  <c r="AT50" i="12"/>
  <c r="AX50" i="12"/>
  <c r="BD50" i="12"/>
  <c r="BF50" i="12"/>
  <c r="BJ50" i="12"/>
  <c r="BN50" i="12"/>
  <c r="BP50" i="12"/>
  <c r="BR50" i="12"/>
  <c r="BT50" i="12"/>
  <c r="BV50" i="12"/>
  <c r="AT51" i="12"/>
  <c r="AX51" i="12"/>
  <c r="BD51" i="12"/>
  <c r="BF51" i="12"/>
  <c r="BJ51" i="12"/>
  <c r="BN51" i="12"/>
  <c r="BP51" i="12"/>
  <c r="BR51" i="12"/>
  <c r="BT51" i="12"/>
  <c r="BV51" i="12"/>
  <c r="AX52" i="12"/>
  <c r="BD52" i="12"/>
  <c r="BF52" i="12"/>
  <c r="BJ52" i="12"/>
  <c r="BN52" i="12"/>
  <c r="BP52" i="12"/>
  <c r="BR52" i="12"/>
  <c r="BT52" i="12"/>
  <c r="BV52" i="12"/>
  <c r="R53" i="12"/>
  <c r="S53" i="12"/>
  <c r="T53" i="12"/>
  <c r="U53" i="12"/>
  <c r="V53" i="12"/>
  <c r="W53" i="12"/>
  <c r="X53" i="12"/>
  <c r="Y53" i="12"/>
  <c r="Z53" i="12"/>
  <c r="AA53" i="12"/>
  <c r="AB53" i="12"/>
  <c r="AC53" i="12"/>
  <c r="AD53" i="12"/>
  <c r="AF53" i="12"/>
  <c r="AH53" i="12"/>
  <c r="AJ53" i="12"/>
  <c r="AK53" i="12"/>
  <c r="AL53" i="12"/>
  <c r="AM53" i="12"/>
  <c r="AN53" i="12"/>
  <c r="AO53" i="12"/>
  <c r="AP53" i="12"/>
  <c r="AQ53" i="12"/>
  <c r="AR53" i="12"/>
  <c r="AS53" i="12"/>
  <c r="AT53" i="12"/>
  <c r="AU53" i="12"/>
  <c r="AV53" i="12"/>
  <c r="AW53" i="12"/>
  <c r="AX53" i="12"/>
  <c r="AY53" i="12"/>
  <c r="AZ53" i="12"/>
  <c r="BA53" i="12"/>
  <c r="BB53" i="12"/>
  <c r="BD53" i="12"/>
  <c r="BF53" i="12"/>
  <c r="BH53" i="12"/>
  <c r="BJ53" i="12"/>
  <c r="BL53" i="12"/>
  <c r="BN53" i="12"/>
  <c r="BP53" i="12"/>
  <c r="BR53" i="12"/>
  <c r="BS53" i="12"/>
  <c r="BT53" i="12"/>
  <c r="BU53" i="12"/>
  <c r="BV53" i="12"/>
  <c r="R56" i="12"/>
  <c r="AT56" i="12"/>
  <c r="BD56" i="12"/>
  <c r="BF56" i="12"/>
  <c r="BJ56" i="12"/>
  <c r="BN56" i="12"/>
  <c r="BP56" i="12"/>
  <c r="BR56" i="12"/>
  <c r="BT56" i="12"/>
  <c r="BV56" i="12"/>
  <c r="BF57" i="12"/>
  <c r="BN57" i="12"/>
  <c r="BR57" i="12"/>
  <c r="BT57" i="12"/>
  <c r="BV57" i="12"/>
  <c r="AT58" i="12"/>
  <c r="AX58" i="12"/>
  <c r="BD58" i="12"/>
  <c r="BF58" i="12"/>
  <c r="BN58" i="12"/>
  <c r="BP58" i="12"/>
  <c r="BR58" i="12"/>
  <c r="BT58" i="12"/>
  <c r="BV58" i="12"/>
  <c r="AX59" i="12"/>
  <c r="BD59" i="12"/>
  <c r="BF59" i="12"/>
  <c r="BN59" i="12"/>
  <c r="BP59" i="12"/>
  <c r="BR59" i="12"/>
  <c r="BT59" i="12"/>
  <c r="BV59" i="12"/>
  <c r="AT60" i="12"/>
  <c r="AX60" i="12"/>
  <c r="BD60" i="12"/>
  <c r="BF60" i="12"/>
  <c r="BN60" i="12"/>
  <c r="BP60" i="12"/>
  <c r="BR60" i="12"/>
  <c r="BT60" i="12"/>
  <c r="BV60" i="12"/>
  <c r="AT61" i="12"/>
  <c r="AX61" i="12"/>
  <c r="BD61" i="12"/>
  <c r="BJ61" i="12"/>
  <c r="BN61" i="12"/>
  <c r="BP61" i="12"/>
  <c r="BR61" i="12"/>
  <c r="BT61" i="12"/>
  <c r="BV61" i="12"/>
  <c r="AX62" i="12"/>
  <c r="BD62" i="12"/>
  <c r="BF62" i="12"/>
  <c r="BJ62" i="12"/>
  <c r="BN62" i="12"/>
  <c r="BP62" i="12"/>
  <c r="BR62" i="12"/>
  <c r="BT62" i="12"/>
  <c r="BV62" i="12"/>
  <c r="AT63" i="12"/>
  <c r="AX63" i="12"/>
  <c r="BD63" i="12"/>
  <c r="BF63" i="12"/>
  <c r="BJ63" i="12"/>
  <c r="BN63" i="12"/>
  <c r="BP63" i="12"/>
  <c r="BR63" i="12"/>
  <c r="BT63" i="12"/>
  <c r="BV63" i="12"/>
  <c r="AX64" i="12"/>
  <c r="BD64" i="12"/>
  <c r="BF64" i="12"/>
  <c r="BN64" i="12"/>
  <c r="BP64" i="12"/>
  <c r="BR64" i="12"/>
  <c r="BT64" i="12"/>
  <c r="BV64" i="12"/>
  <c r="AT65" i="12"/>
  <c r="AX65" i="12"/>
  <c r="BD65" i="12"/>
  <c r="BF65" i="12"/>
  <c r="BJ65" i="12"/>
  <c r="BN65" i="12"/>
  <c r="BP65" i="12"/>
  <c r="BR65" i="12"/>
  <c r="BT65" i="12"/>
  <c r="BV65" i="12"/>
  <c r="AX66" i="12"/>
  <c r="BD66" i="12"/>
  <c r="BF66" i="12"/>
  <c r="BN66" i="12"/>
  <c r="BP66" i="12"/>
  <c r="BR66" i="12"/>
  <c r="BT66" i="12"/>
  <c r="BV66" i="12"/>
  <c r="AX67" i="12"/>
  <c r="BD67" i="12"/>
  <c r="BN67" i="12"/>
  <c r="BP67" i="12"/>
  <c r="BR67" i="12"/>
  <c r="BT67" i="12"/>
  <c r="BV67" i="12"/>
  <c r="BD68" i="12"/>
  <c r="BF68" i="12"/>
  <c r="BN68" i="12"/>
  <c r="BP68" i="12"/>
  <c r="BR68" i="12"/>
  <c r="BT68" i="12"/>
  <c r="BV68" i="12"/>
  <c r="AX69" i="12"/>
  <c r="BD69" i="12"/>
  <c r="BF69" i="12"/>
  <c r="BJ69" i="12"/>
  <c r="BN69" i="12"/>
  <c r="BP69" i="12"/>
  <c r="BR69" i="12"/>
  <c r="BT69" i="12"/>
  <c r="BV69" i="12"/>
  <c r="AT70" i="12"/>
  <c r="AX70" i="12"/>
  <c r="BD70" i="12"/>
  <c r="BF70" i="12"/>
  <c r="BN70" i="12"/>
  <c r="BP70" i="12"/>
  <c r="BR70" i="12"/>
  <c r="BT70" i="12"/>
  <c r="BV70" i="12"/>
  <c r="AX71" i="12"/>
  <c r="BD71" i="12"/>
  <c r="BF71" i="12"/>
  <c r="BJ71" i="12"/>
  <c r="BN71" i="12"/>
  <c r="BP71" i="12"/>
  <c r="BR71" i="12"/>
  <c r="BT71" i="12"/>
  <c r="BV71" i="12"/>
  <c r="AX72" i="12"/>
  <c r="BD72" i="12"/>
  <c r="BF72" i="12"/>
  <c r="BJ72" i="12"/>
  <c r="BN72" i="12"/>
  <c r="BP72" i="12"/>
  <c r="BR72" i="12"/>
  <c r="BT72" i="12"/>
  <c r="BV72" i="12"/>
  <c r="R73" i="12"/>
  <c r="BD73" i="12"/>
  <c r="BF73" i="12"/>
  <c r="BJ73" i="12"/>
  <c r="BN73" i="12"/>
  <c r="BP73" i="12"/>
  <c r="BR73" i="12"/>
  <c r="BT73" i="12"/>
  <c r="BV73" i="12"/>
  <c r="AT74" i="12"/>
  <c r="AX74" i="12"/>
  <c r="BD74" i="12"/>
  <c r="BF74" i="12"/>
  <c r="BJ74" i="12"/>
  <c r="BN74" i="12"/>
  <c r="BP74" i="12"/>
  <c r="BR74" i="12"/>
  <c r="BT74" i="12"/>
  <c r="BV74" i="12"/>
  <c r="BD75" i="12"/>
  <c r="BF75" i="12"/>
  <c r="BJ75" i="12"/>
  <c r="BN75" i="12"/>
  <c r="BP75" i="12"/>
  <c r="BR75" i="12"/>
  <c r="BT75" i="12"/>
  <c r="BV75" i="12"/>
  <c r="BN76" i="12"/>
  <c r="BR76" i="12"/>
  <c r="BT76" i="12"/>
  <c r="BV76" i="12"/>
  <c r="AX77" i="12"/>
  <c r="BD77" i="12"/>
  <c r="BF77" i="12"/>
  <c r="BJ77" i="12"/>
  <c r="BN77" i="12"/>
  <c r="BP77" i="12"/>
  <c r="BR77" i="12"/>
  <c r="BT77" i="12"/>
  <c r="BV77" i="12"/>
  <c r="AX78" i="12"/>
  <c r="BD78" i="12"/>
  <c r="BF78" i="12"/>
  <c r="BJ78" i="12"/>
  <c r="BN78" i="12"/>
  <c r="BR78" i="12"/>
  <c r="BT78" i="12"/>
  <c r="BV78" i="12"/>
  <c r="AX79" i="12"/>
  <c r="BD79" i="12"/>
  <c r="BF79" i="12"/>
  <c r="BJ79" i="12"/>
  <c r="BN79" i="12"/>
  <c r="BR79" i="12"/>
  <c r="BT79" i="12"/>
  <c r="BV79" i="12"/>
  <c r="R80" i="12"/>
  <c r="S80" i="12"/>
  <c r="T80" i="12"/>
  <c r="U80" i="12"/>
  <c r="V80" i="12"/>
  <c r="W80" i="12"/>
  <c r="X80" i="12"/>
  <c r="Y80" i="12"/>
  <c r="Z80" i="12"/>
  <c r="AA80" i="12"/>
  <c r="AB80" i="12"/>
  <c r="AC80" i="12"/>
  <c r="AD80" i="12"/>
  <c r="AF80" i="12"/>
  <c r="AH80" i="12"/>
  <c r="AJ80" i="12"/>
  <c r="AK80" i="12"/>
  <c r="AL80" i="12"/>
  <c r="AM80" i="12"/>
  <c r="AN80" i="12"/>
  <c r="AO80" i="12"/>
  <c r="AP80" i="12"/>
  <c r="AQ80" i="12"/>
  <c r="AR80" i="12"/>
  <c r="AS80" i="12"/>
  <c r="AT80" i="12"/>
  <c r="AU80" i="12"/>
  <c r="AV80" i="12"/>
  <c r="AW80" i="12"/>
  <c r="AX80" i="12"/>
  <c r="AY80" i="12"/>
  <c r="AZ80" i="12"/>
  <c r="BA80" i="12"/>
  <c r="BB80" i="12"/>
  <c r="BD80" i="12"/>
  <c r="BF80" i="12"/>
  <c r="BH80" i="12"/>
  <c r="BJ80" i="12"/>
  <c r="BL80" i="12"/>
  <c r="BN80" i="12"/>
  <c r="BP80" i="12"/>
  <c r="BR80" i="12"/>
  <c r="BS80" i="12"/>
  <c r="BT80" i="12"/>
  <c r="BU80" i="12"/>
  <c r="BV80" i="12"/>
  <c r="BW80" i="12"/>
  <c r="AT83" i="12"/>
  <c r="AX83" i="12"/>
  <c r="BD83" i="12"/>
  <c r="BF83" i="12"/>
  <c r="BJ83" i="12"/>
  <c r="BN83" i="12"/>
  <c r="BP83" i="12"/>
  <c r="BR83" i="12"/>
  <c r="BT83" i="12"/>
  <c r="BV83" i="12"/>
  <c r="R85" i="12"/>
  <c r="S85" i="12"/>
  <c r="T85" i="12"/>
  <c r="U85" i="12"/>
  <c r="V85" i="12"/>
  <c r="W85" i="12"/>
  <c r="X85" i="12"/>
  <c r="Y85" i="12"/>
  <c r="Z85" i="12"/>
  <c r="AA85" i="12"/>
  <c r="AB85" i="12"/>
  <c r="AC85" i="12"/>
  <c r="AD85" i="12"/>
  <c r="AF85" i="12"/>
  <c r="AH85" i="12"/>
  <c r="AJ85" i="12"/>
  <c r="AK85" i="12"/>
  <c r="AL85" i="12"/>
  <c r="AM85" i="12"/>
  <c r="AN85" i="12"/>
  <c r="AO85" i="12"/>
  <c r="AP85" i="12"/>
  <c r="AQ85" i="12"/>
  <c r="AR85" i="12"/>
  <c r="AS85" i="12"/>
  <c r="AT85" i="12"/>
  <c r="AU85" i="12"/>
  <c r="AV85" i="12"/>
  <c r="AW85" i="12"/>
  <c r="AX85" i="12"/>
  <c r="AY85" i="12"/>
  <c r="AZ85" i="12"/>
  <c r="BA85" i="12"/>
  <c r="BB85" i="12"/>
  <c r="BD85" i="12"/>
  <c r="BF85" i="12"/>
  <c r="BH85" i="12"/>
  <c r="BJ85" i="12"/>
  <c r="BL85" i="12"/>
  <c r="BN85" i="12"/>
  <c r="BP85" i="12"/>
  <c r="BR85" i="12"/>
  <c r="BS85" i="12"/>
  <c r="BT85" i="12"/>
  <c r="BU85" i="12"/>
  <c r="BV85" i="12"/>
  <c r="BN86" i="12"/>
  <c r="BS86" i="12"/>
  <c r="BU86" i="12"/>
  <c r="BV86" i="12"/>
  <c r="AP87" i="12"/>
  <c r="AR87" i="12"/>
  <c r="AT87" i="12"/>
  <c r="AX87" i="12"/>
  <c r="BD87" i="12"/>
  <c r="BF87" i="12"/>
  <c r="BN87" i="12"/>
  <c r="BR87" i="12"/>
  <c r="BS87" i="12"/>
  <c r="BT87" i="12"/>
  <c r="BU87" i="12"/>
  <c r="BV87" i="12"/>
  <c r="N89" i="12"/>
  <c r="P89" i="12"/>
  <c r="R89" i="12"/>
  <c r="S89" i="12"/>
  <c r="T89" i="12"/>
  <c r="U89" i="12"/>
  <c r="V89" i="12"/>
  <c r="W89" i="12"/>
  <c r="X89" i="12"/>
  <c r="Y89" i="12"/>
  <c r="Z89" i="12"/>
  <c r="AA89" i="12"/>
  <c r="AB89" i="12"/>
  <c r="AC89" i="12"/>
  <c r="AD89" i="12"/>
  <c r="AF89" i="12"/>
  <c r="AH89" i="12"/>
  <c r="AJ89" i="12"/>
  <c r="AK89" i="12"/>
  <c r="AL89" i="12"/>
  <c r="AM89" i="12"/>
  <c r="AN89" i="12"/>
  <c r="AO89" i="12"/>
  <c r="AP89" i="12"/>
  <c r="AQ89" i="12"/>
  <c r="AR89" i="12"/>
  <c r="AS89" i="12"/>
  <c r="AT89" i="12"/>
  <c r="AU89" i="12"/>
  <c r="AV89" i="12"/>
  <c r="AW89" i="12"/>
  <c r="AX89" i="12"/>
  <c r="AY89" i="12"/>
  <c r="AZ89" i="12"/>
  <c r="BA89" i="12"/>
  <c r="BB89" i="12"/>
  <c r="BD89" i="12"/>
  <c r="BF89" i="12"/>
  <c r="BH89" i="12"/>
  <c r="BJ89" i="12"/>
  <c r="BL89" i="12"/>
  <c r="BN89" i="12"/>
  <c r="BP89" i="12"/>
  <c r="BR89" i="12"/>
  <c r="BS89" i="12"/>
  <c r="BT89" i="12"/>
  <c r="BU89" i="12"/>
  <c r="BV89" i="12"/>
  <c r="BW89" i="12"/>
  <c r="AH92" i="12"/>
  <c r="BN92" i="12"/>
  <c r="BR92" i="12"/>
  <c r="BT92" i="12"/>
  <c r="BV92" i="12"/>
  <c r="AH93" i="12"/>
  <c r="BN93" i="12"/>
  <c r="BR93" i="12"/>
  <c r="BT93" i="12"/>
  <c r="BV93" i="12"/>
  <c r="BN94" i="12"/>
  <c r="BR94" i="12"/>
  <c r="BT94" i="12"/>
  <c r="BV94" i="12"/>
  <c r="R95" i="12"/>
  <c r="BN95" i="12"/>
  <c r="BR95" i="12"/>
  <c r="BT95" i="12"/>
  <c r="BV95" i="12"/>
  <c r="R96" i="12"/>
  <c r="BN96" i="12"/>
  <c r="BR96" i="12"/>
  <c r="BT96" i="12"/>
  <c r="BV96" i="12"/>
  <c r="R97" i="12"/>
  <c r="BN97" i="12"/>
  <c r="BR97" i="12"/>
  <c r="BT97" i="12"/>
  <c r="BV97" i="12"/>
  <c r="BR98" i="12"/>
  <c r="N99" i="12"/>
  <c r="P99" i="12"/>
  <c r="R99" i="12"/>
  <c r="T99" i="12"/>
  <c r="V99" i="12"/>
  <c r="X99" i="12"/>
  <c r="Z99" i="12"/>
  <c r="AB99" i="12"/>
  <c r="AD99" i="12"/>
  <c r="AF99" i="12"/>
  <c r="AH99" i="12"/>
  <c r="AJ99" i="12"/>
  <c r="AL99" i="12"/>
  <c r="AN99" i="12"/>
  <c r="AP99" i="12"/>
  <c r="AR99" i="12"/>
  <c r="AT99" i="12"/>
  <c r="AV99" i="12"/>
  <c r="AX99" i="12"/>
  <c r="AZ99" i="12"/>
  <c r="BB99" i="12"/>
  <c r="BD99" i="12"/>
  <c r="BF99" i="12"/>
  <c r="BH99" i="12"/>
  <c r="BJ99" i="12"/>
  <c r="BL99" i="12"/>
  <c r="BN99" i="12"/>
  <c r="BP99" i="12"/>
  <c r="BR99" i="12"/>
  <c r="BT99" i="12"/>
  <c r="BV99" i="12"/>
  <c r="BN102" i="12"/>
  <c r="BR102" i="12"/>
  <c r="BT102" i="12"/>
  <c r="BV102" i="12"/>
  <c r="BN103" i="12"/>
  <c r="BR103" i="12"/>
  <c r="BT103" i="12"/>
  <c r="BV103" i="12"/>
  <c r="BN104" i="12"/>
  <c r="BR104" i="12"/>
  <c r="BT104" i="12"/>
  <c r="BV104" i="12"/>
  <c r="BN105" i="12"/>
  <c r="BR105" i="12"/>
  <c r="BT105" i="12"/>
  <c r="BV105" i="12"/>
  <c r="BN106" i="12"/>
  <c r="BR106" i="12"/>
  <c r="BT106" i="12"/>
  <c r="BV106" i="12"/>
  <c r="BR107" i="12"/>
  <c r="N108" i="12"/>
  <c r="P108" i="12"/>
  <c r="R108" i="12"/>
  <c r="T108" i="12"/>
  <c r="V108" i="12"/>
  <c r="X108" i="12"/>
  <c r="Z108" i="12"/>
  <c r="AB108" i="12"/>
  <c r="AD108" i="12"/>
  <c r="AF108" i="12"/>
  <c r="AH108" i="12"/>
  <c r="AJ108" i="12"/>
  <c r="AL108" i="12"/>
  <c r="AN108" i="12"/>
  <c r="AP108" i="12"/>
  <c r="AR108" i="12"/>
  <c r="AT108" i="12"/>
  <c r="AV108" i="12"/>
  <c r="AX108" i="12"/>
  <c r="AZ108" i="12"/>
  <c r="BB108" i="12"/>
  <c r="BD108" i="12"/>
  <c r="BF108" i="12"/>
  <c r="BH108" i="12"/>
  <c r="BJ108" i="12"/>
  <c r="BL108" i="12"/>
  <c r="BN108" i="12"/>
  <c r="BP108" i="12"/>
  <c r="BR108" i="12"/>
  <c r="BT108" i="12"/>
  <c r="BV108" i="12"/>
  <c r="AJ112" i="12"/>
  <c r="BN114" i="12"/>
  <c r="BR114" i="12"/>
  <c r="BT114" i="12"/>
  <c r="BV114" i="12"/>
  <c r="AX115" i="12"/>
  <c r="BN115" i="12"/>
  <c r="BT115" i="12"/>
  <c r="BV115" i="12"/>
  <c r="BN116" i="12"/>
  <c r="BR116" i="12"/>
  <c r="BT116" i="12"/>
  <c r="BV116" i="12"/>
  <c r="N117" i="12"/>
  <c r="P117" i="12"/>
  <c r="R117" i="12"/>
  <c r="T117" i="12"/>
  <c r="V117" i="12"/>
  <c r="X117" i="12"/>
  <c r="Z117" i="12"/>
  <c r="AB117" i="12"/>
  <c r="AD117" i="12"/>
  <c r="AF117" i="12"/>
  <c r="AH117" i="12"/>
  <c r="AJ117" i="12"/>
  <c r="AL117" i="12"/>
  <c r="AN117" i="12"/>
  <c r="AP117" i="12"/>
  <c r="AR117" i="12"/>
  <c r="AT117" i="12"/>
  <c r="AV117" i="12"/>
  <c r="AX117" i="12"/>
  <c r="AZ117" i="12"/>
  <c r="BB117" i="12"/>
  <c r="BD117" i="12"/>
  <c r="BF117" i="12"/>
  <c r="BH117" i="12"/>
  <c r="BJ117" i="12"/>
  <c r="BL117" i="12"/>
  <c r="BN117" i="12"/>
  <c r="BP117" i="12"/>
  <c r="BR117" i="12"/>
  <c r="BT117" i="12"/>
  <c r="BV117" i="12"/>
  <c r="BN121" i="12"/>
  <c r="BR121" i="12"/>
  <c r="BT121" i="12"/>
  <c r="BV121" i="12"/>
  <c r="BN123" i="12"/>
  <c r="BR123" i="12"/>
  <c r="BT123" i="12"/>
  <c r="BV123" i="12"/>
  <c r="BN125" i="12"/>
  <c r="BR125" i="12"/>
  <c r="BT125" i="12"/>
  <c r="BV125" i="12"/>
  <c r="BN128" i="12"/>
  <c r="BR128" i="12"/>
  <c r="BT128" i="12"/>
  <c r="BV128" i="12"/>
  <c r="BN129" i="12"/>
  <c r="BR129" i="12"/>
  <c r="BT129" i="12"/>
  <c r="BV129" i="12"/>
  <c r="R130" i="12"/>
  <c r="AV130" i="12"/>
  <c r="BN130" i="12"/>
  <c r="BR130" i="12"/>
  <c r="BT130" i="12"/>
  <c r="BV130" i="12"/>
  <c r="BR131" i="12"/>
  <c r="BT131" i="12"/>
  <c r="BV131" i="12"/>
  <c r="N132" i="12"/>
  <c r="P132" i="12"/>
  <c r="R132" i="12"/>
  <c r="T132" i="12"/>
  <c r="V132" i="12"/>
  <c r="X132" i="12"/>
  <c r="Z132" i="12"/>
  <c r="AB132" i="12"/>
  <c r="AD132" i="12"/>
  <c r="AF132" i="12"/>
  <c r="AH132" i="12"/>
  <c r="AJ132" i="12"/>
  <c r="AL132" i="12"/>
  <c r="AN132" i="12"/>
  <c r="AP132" i="12"/>
  <c r="AR132" i="12"/>
  <c r="AT132" i="12"/>
  <c r="AV132" i="12"/>
  <c r="AX132" i="12"/>
  <c r="AZ132" i="12"/>
  <c r="BB132" i="12"/>
  <c r="BD132" i="12"/>
  <c r="BF132" i="12"/>
  <c r="BH132" i="12"/>
  <c r="BJ132" i="12"/>
  <c r="BL132" i="12"/>
  <c r="BN132" i="12"/>
  <c r="BP132" i="12"/>
  <c r="BR132" i="12"/>
  <c r="BT132" i="12"/>
  <c r="BV132" i="12"/>
  <c r="BN135" i="12"/>
  <c r="BR135" i="12"/>
  <c r="BT135" i="12"/>
  <c r="BV135" i="12"/>
  <c r="BN136" i="12"/>
  <c r="BR136" i="12"/>
  <c r="BT136" i="12"/>
  <c r="BV136" i="12"/>
  <c r="AF137" i="12"/>
  <c r="AH137" i="12"/>
  <c r="AJ137" i="12"/>
  <c r="AP137" i="12"/>
  <c r="BB137" i="12"/>
  <c r="BH137" i="12"/>
  <c r="BN137" i="12"/>
  <c r="BR137" i="12"/>
  <c r="BT137" i="12"/>
  <c r="BV137" i="12"/>
  <c r="BJ138" i="12"/>
  <c r="BN138" i="12"/>
  <c r="BR138" i="12"/>
  <c r="BT138" i="12"/>
  <c r="BV138" i="12"/>
  <c r="BR139" i="12"/>
  <c r="N140" i="12"/>
  <c r="P140" i="12"/>
  <c r="R140" i="12"/>
  <c r="T140" i="12"/>
  <c r="V140" i="12"/>
  <c r="X140" i="12"/>
  <c r="Z140" i="12"/>
  <c r="AB140" i="12"/>
  <c r="AD140" i="12"/>
  <c r="AF140" i="12"/>
  <c r="AH140" i="12"/>
  <c r="AJ140" i="12"/>
  <c r="AL140" i="12"/>
  <c r="AN140" i="12"/>
  <c r="AP140" i="12"/>
  <c r="AR140" i="12"/>
  <c r="AT140" i="12"/>
  <c r="AV140" i="12"/>
  <c r="AX140" i="12"/>
  <c r="AZ140" i="12"/>
  <c r="BB140" i="12"/>
  <c r="BD140" i="12"/>
  <c r="BF140" i="12"/>
  <c r="BH140" i="12"/>
  <c r="BJ140" i="12"/>
  <c r="BL140" i="12"/>
  <c r="BN140" i="12"/>
  <c r="BP140" i="12"/>
  <c r="BR140" i="12"/>
  <c r="BT140" i="12"/>
  <c r="BV140" i="12"/>
  <c r="AP142" i="12"/>
  <c r="BN142" i="12"/>
  <c r="BR142" i="12"/>
  <c r="BT142" i="12"/>
  <c r="BV142" i="12"/>
  <c r="BN144" i="12"/>
  <c r="BP144" i="12"/>
  <c r="BR144" i="12"/>
  <c r="BT144" i="12"/>
  <c r="BV144" i="12"/>
  <c r="R147" i="12"/>
  <c r="BN147" i="12"/>
  <c r="BR147" i="12"/>
  <c r="BT147" i="12"/>
  <c r="BV147" i="12"/>
  <c r="BN148" i="12"/>
  <c r="BR148" i="12"/>
  <c r="BT148" i="12"/>
  <c r="BV148" i="12"/>
  <c r="BN149" i="12"/>
  <c r="BR149" i="12"/>
  <c r="BT149" i="12"/>
  <c r="BV149" i="12"/>
  <c r="N150" i="12"/>
  <c r="P150" i="12"/>
  <c r="R150" i="12"/>
  <c r="T150" i="12"/>
  <c r="V150" i="12"/>
  <c r="X150" i="12"/>
  <c r="Z150" i="12"/>
  <c r="AB150" i="12"/>
  <c r="AD150" i="12"/>
  <c r="AF150" i="12"/>
  <c r="AH150" i="12"/>
  <c r="AJ150" i="12"/>
  <c r="AL150" i="12"/>
  <c r="AN150" i="12"/>
  <c r="AP150" i="12"/>
  <c r="AR150" i="12"/>
  <c r="AT150" i="12"/>
  <c r="AV150" i="12"/>
  <c r="AX150" i="12"/>
  <c r="AZ150" i="12"/>
  <c r="BB150" i="12"/>
  <c r="BD150" i="12"/>
  <c r="BF150" i="12"/>
  <c r="BH150" i="12"/>
  <c r="BJ150" i="12"/>
  <c r="BL150" i="12"/>
  <c r="BN150" i="12"/>
  <c r="BP150" i="12"/>
  <c r="BR150" i="12"/>
  <c r="BT150" i="12"/>
  <c r="BV150" i="12"/>
  <c r="BN152" i="12"/>
  <c r="BR152" i="12"/>
  <c r="BT152" i="12"/>
  <c r="BV152" i="12"/>
  <c r="BN154" i="12"/>
  <c r="BR154" i="12"/>
  <c r="BT154" i="12"/>
  <c r="BV154" i="12"/>
  <c r="BB157" i="12"/>
  <c r="BN157" i="12"/>
  <c r="BR157" i="12"/>
  <c r="BT157" i="12"/>
  <c r="BV157" i="12"/>
  <c r="AT158" i="12"/>
  <c r="BB158" i="12"/>
  <c r="BN158" i="12"/>
  <c r="BR158" i="12"/>
  <c r="BT158" i="12"/>
  <c r="BV158" i="12"/>
  <c r="BD159" i="12"/>
  <c r="BN159" i="12"/>
  <c r="BR159" i="12"/>
  <c r="BT159" i="12"/>
  <c r="BV159" i="12"/>
  <c r="P160" i="12"/>
  <c r="R160" i="12"/>
  <c r="AF160" i="12"/>
  <c r="AH160" i="12"/>
  <c r="AN160" i="12"/>
  <c r="AP160" i="12"/>
  <c r="AR160" i="12"/>
  <c r="AT160" i="12"/>
  <c r="AX160" i="12"/>
  <c r="AZ160" i="12"/>
  <c r="BB160" i="12"/>
  <c r="BD160" i="12"/>
  <c r="BF160" i="12"/>
  <c r="BH160" i="12"/>
  <c r="BJ160" i="12"/>
  <c r="BL160" i="12"/>
  <c r="BN160" i="12"/>
  <c r="BR160" i="12"/>
  <c r="BT160" i="12"/>
  <c r="BV160" i="12"/>
  <c r="AR161" i="12"/>
  <c r="BN161" i="12"/>
  <c r="BR161" i="12"/>
  <c r="BT161" i="12"/>
  <c r="BV161" i="12"/>
  <c r="AF162" i="12"/>
  <c r="AH162" i="12"/>
  <c r="BN162" i="12"/>
  <c r="BR162" i="12"/>
  <c r="BT162" i="12"/>
  <c r="BV162" i="12"/>
  <c r="N163" i="12"/>
  <c r="P163" i="12"/>
  <c r="R163" i="12"/>
  <c r="S163" i="12"/>
  <c r="T163" i="12"/>
  <c r="U163" i="12"/>
  <c r="V163" i="12"/>
  <c r="W163" i="12"/>
  <c r="X163" i="12"/>
  <c r="Y163" i="12"/>
  <c r="Z163" i="12"/>
  <c r="AA163" i="12"/>
  <c r="AB163" i="12"/>
  <c r="AC163" i="12"/>
  <c r="AD163" i="12"/>
  <c r="AF163" i="12"/>
  <c r="AH163" i="12"/>
  <c r="AJ163" i="12"/>
  <c r="AL163" i="12"/>
  <c r="AN163" i="12"/>
  <c r="AO163" i="12"/>
  <c r="AP163" i="12"/>
  <c r="AQ163" i="12"/>
  <c r="AR163" i="12"/>
  <c r="AS163" i="12"/>
  <c r="AT163" i="12"/>
  <c r="AU163" i="12"/>
  <c r="AV163" i="12"/>
  <c r="AW163" i="12"/>
  <c r="AX163" i="12"/>
  <c r="AY163" i="12"/>
  <c r="AZ163" i="12"/>
  <c r="BA163" i="12"/>
  <c r="BB163" i="12"/>
  <c r="BD163" i="12"/>
  <c r="BF163" i="12"/>
  <c r="BH163" i="12"/>
  <c r="BJ163" i="12"/>
  <c r="BL163" i="12"/>
  <c r="BN163" i="12"/>
  <c r="BP163" i="12"/>
  <c r="BR163" i="12"/>
  <c r="BS163" i="12"/>
  <c r="BT163" i="12"/>
  <c r="BU163" i="12"/>
  <c r="BV163" i="12"/>
  <c r="P166" i="12"/>
  <c r="BN166" i="12"/>
  <c r="BR166" i="12"/>
  <c r="BT166" i="12"/>
  <c r="BV166" i="12"/>
  <c r="BN167" i="12"/>
  <c r="BR167" i="12"/>
  <c r="BT167" i="12"/>
  <c r="BV167" i="12"/>
  <c r="BD168" i="12"/>
  <c r="BN168" i="12"/>
  <c r="BR168" i="12"/>
  <c r="BT168" i="12"/>
  <c r="BV168" i="12"/>
  <c r="BN169" i="12"/>
  <c r="BR169" i="12"/>
  <c r="BT169" i="12"/>
  <c r="BV169" i="12"/>
  <c r="N170" i="12"/>
  <c r="O170" i="12"/>
  <c r="P170" i="12"/>
  <c r="Q170" i="12"/>
  <c r="R170" i="12"/>
  <c r="T170" i="12"/>
  <c r="V170" i="12"/>
  <c r="X170" i="12"/>
  <c r="Z170" i="12"/>
  <c r="AB170" i="12"/>
  <c r="AD170" i="12"/>
  <c r="AF170" i="12"/>
  <c r="AH170" i="12"/>
  <c r="AJ170" i="12"/>
  <c r="AL170" i="12"/>
  <c r="AN170" i="12"/>
  <c r="AP170" i="12"/>
  <c r="AR170" i="12"/>
  <c r="AT170" i="12"/>
  <c r="AV170" i="12"/>
  <c r="AX170" i="12"/>
  <c r="AZ170" i="12"/>
  <c r="BB170" i="12"/>
  <c r="BD170" i="12"/>
  <c r="BF170" i="12"/>
  <c r="BH170" i="12"/>
  <c r="BJ170" i="12"/>
  <c r="BL170" i="12"/>
  <c r="BN170" i="12"/>
  <c r="BP170" i="12"/>
  <c r="BR170" i="12"/>
  <c r="BT170" i="12"/>
  <c r="BV170" i="12"/>
  <c r="P172" i="12"/>
  <c r="AD172" i="12"/>
  <c r="AJ172" i="12"/>
  <c r="AL172" i="12"/>
  <c r="AP172" i="12"/>
  <c r="AR172" i="12"/>
  <c r="AT172" i="12"/>
  <c r="AV172" i="12"/>
  <c r="AX172" i="12"/>
  <c r="BN172" i="12"/>
  <c r="BR172" i="12"/>
  <c r="BT172" i="12"/>
  <c r="BV172" i="12"/>
  <c r="R174" i="12"/>
  <c r="S174" i="12"/>
  <c r="T174" i="12"/>
  <c r="U174" i="12"/>
  <c r="V174" i="12"/>
  <c r="W174" i="12"/>
  <c r="X174" i="12"/>
  <c r="Y174" i="12"/>
  <c r="Z174" i="12"/>
  <c r="AA174" i="12"/>
  <c r="AB174" i="12"/>
  <c r="AC174" i="12"/>
  <c r="AD174" i="12"/>
  <c r="AE174" i="12"/>
  <c r="AF174" i="12"/>
  <c r="AG174" i="12"/>
  <c r="AH174" i="12"/>
  <c r="AI174" i="12"/>
  <c r="AJ174" i="12"/>
  <c r="AK174" i="12"/>
  <c r="AL174" i="12"/>
  <c r="AM174" i="12"/>
  <c r="AN174" i="12"/>
  <c r="AO174" i="12"/>
  <c r="AP174" i="12"/>
  <c r="AQ174" i="12"/>
  <c r="AR174" i="12"/>
  <c r="AS174" i="12"/>
  <c r="AT174" i="12"/>
  <c r="AU174" i="12"/>
  <c r="AV174" i="12"/>
  <c r="AW174" i="12"/>
  <c r="AX174" i="12"/>
  <c r="AY174" i="12"/>
  <c r="AZ174" i="12"/>
  <c r="BA174" i="12"/>
  <c r="BB174" i="12"/>
  <c r="BD174" i="12"/>
  <c r="BF174" i="12"/>
  <c r="BH174" i="12"/>
  <c r="BJ174" i="12"/>
  <c r="BL174" i="12"/>
  <c r="BN174" i="12"/>
  <c r="BP174" i="12"/>
  <c r="BR174" i="12"/>
  <c r="BS174" i="12"/>
  <c r="BT174" i="12"/>
  <c r="BU174" i="12"/>
  <c r="BV174" i="12"/>
  <c r="BW174" i="12"/>
  <c r="P176" i="12"/>
  <c r="BN176" i="12"/>
  <c r="BR176" i="12"/>
  <c r="BT176" i="12"/>
  <c r="BV176" i="12"/>
  <c r="R179" i="12"/>
  <c r="S179" i="12"/>
  <c r="T179" i="12"/>
  <c r="U179" i="12"/>
  <c r="V179" i="12"/>
  <c r="W179" i="12"/>
  <c r="X179" i="12"/>
  <c r="Y179" i="12"/>
  <c r="Z179" i="12"/>
  <c r="AA179" i="12"/>
  <c r="AB179" i="12"/>
  <c r="AC179" i="12"/>
  <c r="AD179" i="12"/>
  <c r="AF179" i="12"/>
  <c r="AH179" i="12"/>
  <c r="AJ179" i="12"/>
  <c r="AL179" i="12"/>
  <c r="AN179" i="12"/>
  <c r="AO179" i="12"/>
  <c r="AP179" i="12"/>
  <c r="AQ179" i="12"/>
  <c r="AR179" i="12"/>
  <c r="AS179" i="12"/>
  <c r="AT179" i="12"/>
  <c r="AU179" i="12"/>
  <c r="AV179" i="12"/>
  <c r="AW179" i="12"/>
  <c r="AX179" i="12"/>
  <c r="AY179" i="12"/>
  <c r="AZ179" i="12"/>
  <c r="BA179" i="12"/>
  <c r="BB179" i="12"/>
  <c r="BD179" i="12"/>
  <c r="BF179" i="12"/>
  <c r="BH179" i="12"/>
  <c r="BJ179" i="12"/>
  <c r="BL179" i="12"/>
  <c r="BN179" i="12"/>
  <c r="BP179" i="12"/>
  <c r="BR179" i="12"/>
  <c r="BS179" i="12"/>
  <c r="BT179" i="12"/>
  <c r="BU179" i="12"/>
  <c r="BV179" i="12"/>
  <c r="BT180" i="12"/>
  <c r="T182" i="12"/>
  <c r="U182" i="12"/>
  <c r="V182" i="12"/>
  <c r="W182" i="12"/>
  <c r="X182" i="12"/>
  <c r="Y182" i="12"/>
  <c r="Z182" i="12"/>
  <c r="AA182" i="12"/>
  <c r="AB182" i="12"/>
  <c r="AC182" i="12"/>
  <c r="AD182" i="12"/>
  <c r="AE182" i="12"/>
  <c r="AF182" i="12"/>
  <c r="AG182" i="12"/>
  <c r="AH182" i="12"/>
  <c r="AI182" i="12"/>
  <c r="AJ182" i="12"/>
  <c r="AK182" i="12"/>
  <c r="AL182" i="12"/>
  <c r="AM182" i="12"/>
  <c r="AN182" i="12"/>
  <c r="AO182" i="12"/>
  <c r="AP182" i="12"/>
  <c r="AQ182" i="12"/>
  <c r="AR182" i="12"/>
  <c r="AS182" i="12"/>
  <c r="AT182" i="12"/>
  <c r="AU182" i="12"/>
  <c r="AV182" i="12"/>
  <c r="AW182" i="12"/>
  <c r="AX182" i="12"/>
  <c r="AY182" i="12"/>
  <c r="AZ182" i="12"/>
  <c r="BA182" i="12"/>
  <c r="BB182" i="12"/>
  <c r="BC182" i="12"/>
  <c r="BD182" i="12"/>
  <c r="BE182" i="12"/>
  <c r="BF182" i="12"/>
  <c r="BG182" i="12"/>
  <c r="BH182" i="12"/>
  <c r="BI182" i="12"/>
  <c r="BJ182" i="12"/>
  <c r="BK182" i="12"/>
  <c r="BL182" i="12"/>
  <c r="BN183" i="12"/>
  <c r="BN184" i="12"/>
  <c r="BN187" i="12"/>
  <c r="BN188" i="12"/>
  <c r="BN190" i="12"/>
  <c r="BN191" i="12"/>
  <c r="BN218" i="12"/>
  <c r="BN224" i="12"/>
  <c r="BN225" i="12"/>
  <c r="BN227" i="12"/>
  <c r="P241" i="12"/>
  <c r="AB241" i="12"/>
  <c r="BN241" i="12"/>
  <c r="BR241" i="12"/>
  <c r="BT241" i="12"/>
  <c r="AJ243" i="12"/>
  <c r="BN243" i="12"/>
  <c r="BR243" i="12"/>
  <c r="BT243" i="12"/>
  <c r="BN244" i="12"/>
  <c r="BR244" i="12"/>
  <c r="BT244" i="12"/>
  <c r="AD245" i="12"/>
  <c r="AJ245" i="12"/>
  <c r="AN245" i="12"/>
  <c r="AP245" i="12"/>
  <c r="BN245" i="12"/>
  <c r="BT245" i="12"/>
  <c r="R247" i="12"/>
  <c r="S247" i="12"/>
  <c r="T247" i="12"/>
  <c r="U247" i="12"/>
  <c r="V247" i="12"/>
  <c r="W247" i="12"/>
  <c r="X247" i="12"/>
  <c r="Y247" i="12"/>
  <c r="Z247" i="12"/>
  <c r="AA247" i="12"/>
  <c r="AB247" i="12"/>
  <c r="AC247" i="12"/>
  <c r="AD247" i="12"/>
  <c r="AF247" i="12"/>
  <c r="AH247" i="12"/>
  <c r="AJ247" i="12"/>
  <c r="AL247" i="12"/>
  <c r="AN247" i="12"/>
  <c r="AO247" i="12"/>
  <c r="AP247" i="12"/>
  <c r="AQ247" i="12"/>
  <c r="AR247" i="12"/>
  <c r="AS247" i="12"/>
  <c r="AT247" i="12"/>
  <c r="AU247" i="12"/>
  <c r="AV247" i="12"/>
  <c r="AW247" i="12"/>
  <c r="AX247" i="12"/>
  <c r="AY247" i="12"/>
  <c r="AZ247" i="12"/>
  <c r="BA247" i="12"/>
  <c r="BB247" i="12"/>
  <c r="BD247" i="12"/>
  <c r="BF247" i="12"/>
  <c r="BH247" i="12"/>
  <c r="BJ247" i="12"/>
  <c r="BL247" i="12"/>
  <c r="BN247" i="12"/>
  <c r="BP247" i="12"/>
  <c r="BR247" i="12"/>
  <c r="BS247" i="12"/>
  <c r="BT247" i="12"/>
  <c r="BU247" i="12"/>
  <c r="BV247" i="12"/>
  <c r="X251" i="12"/>
  <c r="AH251" i="12"/>
  <c r="BN251" i="12"/>
  <c r="BR251" i="12"/>
  <c r="BT251" i="12"/>
  <c r="X252" i="12"/>
  <c r="Z252" i="12"/>
  <c r="AD252" i="12"/>
  <c r="BN252" i="12"/>
  <c r="BR252" i="12"/>
  <c r="BT252" i="12"/>
  <c r="BN253" i="12"/>
  <c r="BR253" i="12"/>
  <c r="BT253" i="12"/>
  <c r="BN254" i="12"/>
  <c r="BR254" i="12"/>
  <c r="BT254" i="12"/>
  <c r="BR255" i="12"/>
  <c r="N256" i="12"/>
  <c r="P256" i="12"/>
  <c r="R256" i="12"/>
  <c r="T256" i="12"/>
  <c r="V256" i="12"/>
  <c r="X256" i="12"/>
  <c r="Z256" i="12"/>
  <c r="AA256" i="12"/>
  <c r="AB256" i="12"/>
  <c r="AC256" i="12"/>
  <c r="AD256" i="12"/>
  <c r="AF256" i="12"/>
  <c r="AH256" i="12"/>
  <c r="AJ256" i="12"/>
  <c r="AL256" i="12"/>
  <c r="AN256" i="12"/>
  <c r="AO256" i="12"/>
  <c r="AP256" i="12"/>
  <c r="AQ256" i="12"/>
  <c r="AR256" i="12"/>
  <c r="AS256" i="12"/>
  <c r="AT256" i="12"/>
  <c r="AU256" i="12"/>
  <c r="AV256" i="12"/>
  <c r="AW256" i="12"/>
  <c r="AX256" i="12"/>
  <c r="AY256" i="12"/>
  <c r="AZ256" i="12"/>
  <c r="BA256" i="12"/>
  <c r="BB256" i="12"/>
  <c r="BD256" i="12"/>
  <c r="BF256" i="12"/>
  <c r="BH256" i="12"/>
  <c r="BJ256" i="12"/>
  <c r="BL256" i="12"/>
  <c r="BN256" i="12"/>
  <c r="BR256" i="12"/>
  <c r="BT256" i="12"/>
  <c r="N261" i="12"/>
  <c r="P261" i="12"/>
  <c r="R261" i="12"/>
  <c r="S261" i="12"/>
  <c r="T261" i="12"/>
  <c r="U261" i="12"/>
  <c r="V261" i="12"/>
  <c r="W261" i="12"/>
  <c r="X261" i="12"/>
  <c r="Y261" i="12"/>
  <c r="Z261" i="12"/>
  <c r="AA261" i="12"/>
  <c r="AB261" i="12"/>
  <c r="AC261" i="12"/>
  <c r="AD261" i="12"/>
  <c r="AF261" i="12"/>
  <c r="AH261" i="12"/>
  <c r="AJ261" i="12"/>
  <c r="AL261" i="12"/>
  <c r="AN261" i="12"/>
  <c r="AO261" i="12"/>
  <c r="AP261" i="12"/>
  <c r="AQ261" i="12"/>
  <c r="AR261" i="12"/>
  <c r="AS261" i="12"/>
  <c r="AT261" i="12"/>
  <c r="AU261" i="12"/>
  <c r="AV261" i="12"/>
  <c r="AW261" i="12"/>
  <c r="AX261" i="12"/>
  <c r="AY261" i="12"/>
  <c r="AZ261" i="12"/>
  <c r="BA261" i="12"/>
  <c r="BB261" i="12"/>
  <c r="BD261" i="12"/>
  <c r="BF261" i="12"/>
  <c r="BH261" i="12"/>
  <c r="BJ261" i="12"/>
  <c r="BL261" i="12"/>
  <c r="BN261" i="12"/>
  <c r="BP261" i="12"/>
  <c r="BR261" i="12"/>
  <c r="BS261" i="12"/>
  <c r="BT261" i="12"/>
  <c r="BU261" i="12"/>
  <c r="BV261" i="12"/>
</calcChain>
</file>

<file path=xl/comments1.xml><?xml version="1.0" encoding="utf-8"?>
<comments xmlns="http://schemas.openxmlformats.org/spreadsheetml/2006/main">
  <authors>
    <author>acopela</author>
    <author>aspoede</author>
  </authors>
  <commentList>
    <comment ref="R9" authorId="0" shapeId="0">
      <text>
        <r>
          <rPr>
            <b/>
            <sz val="12"/>
            <color indexed="81"/>
            <rFont val="Tahoma"/>
            <family val="2"/>
          </rPr>
          <t>acopela:</t>
        </r>
        <r>
          <rPr>
            <sz val="12"/>
            <color indexed="81"/>
            <rFont val="Tahoma"/>
            <family val="2"/>
          </rPr>
          <t xml:space="preserve">
6/2/99 Per DD budget was changed
6/11/99 Per Shealy Budget changed
</t>
        </r>
      </text>
    </comment>
    <comment ref="BP9" authorId="0" shapeId="0">
      <text>
        <r>
          <rPr>
            <b/>
            <sz val="12"/>
            <color indexed="81"/>
            <rFont val="Tahoma"/>
            <family val="2"/>
          </rPr>
          <t>acopela:</t>
        </r>
        <r>
          <rPr>
            <sz val="12"/>
            <color indexed="81"/>
            <rFont val="Tahoma"/>
            <family val="2"/>
          </rPr>
          <t xml:space="preserve">
includes $2,024,000 CO#1
</t>
        </r>
      </text>
    </comment>
    <comment ref="BR108" authorId="1" shapeId="0">
      <text>
        <r>
          <rPr>
            <b/>
            <sz val="8"/>
            <color indexed="81"/>
            <rFont val="Tahoma"/>
          </rPr>
          <t>aspoede:</t>
        </r>
        <r>
          <rPr>
            <sz val="8"/>
            <color indexed="81"/>
            <rFont val="Tahoma"/>
          </rPr>
          <t xml:space="preserve">
LD against Braden
</t>
        </r>
      </text>
    </comment>
  </commentList>
</comments>
</file>

<file path=xl/comments2.xml><?xml version="1.0" encoding="utf-8"?>
<comments xmlns="http://schemas.openxmlformats.org/spreadsheetml/2006/main">
  <authors>
    <author>acopela</author>
  </authors>
  <commentList>
    <comment ref="AD195" authorId="0" shapeId="0">
      <text>
        <r>
          <rPr>
            <b/>
            <sz val="8"/>
            <color indexed="81"/>
            <rFont val="Tahoma"/>
          </rPr>
          <t>acopela:</t>
        </r>
        <r>
          <rPr>
            <sz val="8"/>
            <color indexed="81"/>
            <rFont val="Tahoma"/>
          </rPr>
          <t xml:space="preserve">
Legal Expenses incurred 1998 under the 2000 peaker work order.  Reclass to expense 5/99</t>
        </r>
      </text>
    </comment>
  </commentList>
</comments>
</file>

<file path=xl/comments3.xml><?xml version="1.0" encoding="utf-8"?>
<comments xmlns="http://schemas.openxmlformats.org/spreadsheetml/2006/main">
  <authors>
    <author>aspoede</author>
    <author>James M. Armstrong</author>
    <author>tvos</author>
  </authors>
  <commentList>
    <comment ref="BT16" authorId="0" shapeId="0">
      <text>
        <r>
          <rPr>
            <b/>
            <sz val="8"/>
            <color indexed="81"/>
            <rFont val="Tahoma"/>
          </rPr>
          <t>aspoede:</t>
        </r>
        <r>
          <rPr>
            <sz val="8"/>
            <color indexed="81"/>
            <rFont val="Tahoma"/>
          </rPr>
          <t xml:space="preserve">
Claim against Westinghouse for Liquidated damages
</t>
        </r>
      </text>
    </comment>
    <comment ref="BF200" authorId="1" shapeId="0">
      <text>
        <r>
          <rPr>
            <b/>
            <sz val="8"/>
            <color indexed="81"/>
            <rFont val="Tahoma"/>
          </rPr>
          <t>James M. Armstrong:</t>
        </r>
        <r>
          <rPr>
            <sz val="8"/>
            <color indexed="81"/>
            <rFont val="Tahoma"/>
          </rPr>
          <t xml:space="preserve">
</t>
        </r>
      </text>
    </comment>
    <comment ref="BL200" authorId="2" shapeId="0">
      <text>
        <r>
          <rPr>
            <b/>
            <sz val="8"/>
            <color indexed="81"/>
            <rFont val="Tahoma"/>
          </rPr>
          <t>tvos:</t>
        </r>
        <r>
          <rPr>
            <sz val="8"/>
            <color indexed="81"/>
            <rFont val="Tahoma"/>
          </rPr>
          <t xml:space="preserve">
$4578 adjustment to true up CWIP to G/L
</t>
        </r>
      </text>
    </comment>
    <comment ref="AJ206" authorId="1" shapeId="0">
      <text>
        <r>
          <rPr>
            <b/>
            <sz val="8"/>
            <color indexed="81"/>
            <rFont val="Tahoma"/>
          </rPr>
          <t>James M. Armstrong:</t>
        </r>
        <r>
          <rPr>
            <sz val="8"/>
            <color indexed="81"/>
            <rFont val="Tahoma"/>
          </rPr>
          <t xml:space="preserve">
Legal exp of $3534 deducted to tie to draw schedule</t>
        </r>
      </text>
    </comment>
    <comment ref="AT206" authorId="1" shapeId="0">
      <text>
        <r>
          <rPr>
            <b/>
            <sz val="8"/>
            <color indexed="81"/>
            <rFont val="Tahoma"/>
          </rPr>
          <t>James M. Armstrong:</t>
        </r>
        <r>
          <rPr>
            <sz val="8"/>
            <color indexed="81"/>
            <rFont val="Tahoma"/>
          </rPr>
          <t xml:space="preserve">
Legal exp of $7634 deducted to tie to draw schedule</t>
        </r>
      </text>
    </comment>
  </commentList>
</comments>
</file>

<file path=xl/comments4.xml><?xml version="1.0" encoding="utf-8"?>
<comments xmlns="http://schemas.openxmlformats.org/spreadsheetml/2006/main">
  <authors>
    <author>aspoede</author>
  </authors>
  <commentList>
    <comment ref="BR12" authorId="0" shapeId="0">
      <text>
        <r>
          <rPr>
            <b/>
            <sz val="8"/>
            <color indexed="81"/>
            <rFont val="Tahoma"/>
          </rPr>
          <t>aspoede:</t>
        </r>
        <r>
          <rPr>
            <sz val="8"/>
            <color indexed="81"/>
            <rFont val="Tahoma"/>
          </rPr>
          <t xml:space="preserve">
Claim against WH for Liquidated damages</t>
        </r>
      </text>
    </comment>
  </commentList>
</comments>
</file>

<file path=xl/sharedStrings.xml><?xml version="1.0" encoding="utf-8"?>
<sst xmlns="http://schemas.openxmlformats.org/spreadsheetml/2006/main" count="1689" uniqueCount="458">
  <si>
    <t>ECT</t>
  </si>
  <si>
    <t>Responsibility</t>
  </si>
  <si>
    <t>Enron Contact</t>
  </si>
  <si>
    <t>Certainty</t>
  </si>
  <si>
    <t>Comments</t>
  </si>
  <si>
    <t>MAJOR EQUIPMENT</t>
  </si>
  <si>
    <t>TURBINE REFURBISHMENT</t>
  </si>
  <si>
    <t>AUX TRANSFORMERS</t>
  </si>
  <si>
    <t>LOAD CENTER TRANSFORMERS</t>
  </si>
  <si>
    <t>CIRCUIT BREAKERS</t>
  </si>
  <si>
    <t>TD OF I-ABB</t>
  </si>
  <si>
    <t>FREIGHT - TRANSFORMERS</t>
  </si>
  <si>
    <t>TRANSFORMER INSTALLATION</t>
  </si>
  <si>
    <t>OFF LOAD CIRCUIT BREAKERS</t>
  </si>
  <si>
    <t>MISC TVA REQUIREMENTS</t>
  </si>
  <si>
    <t>TOTAL MAJOR EQUIPMENT</t>
  </si>
  <si>
    <t>ELECTRICAL</t>
  </si>
  <si>
    <t>PIPING</t>
  </si>
  <si>
    <t>CIVIL</t>
  </si>
  <si>
    <t>INSTRUMENTATION</t>
  </si>
  <si>
    <t>CONSTRUCTION</t>
  </si>
  <si>
    <t>TOTAL CONSTRUCTION</t>
  </si>
  <si>
    <t>ENGINEERING</t>
  </si>
  <si>
    <t>CONSTRUCTION MANAGEMENT</t>
  </si>
  <si>
    <t>TOTAL ENGINEERING</t>
  </si>
  <si>
    <t>MOBILIZATION OF O&amp;M</t>
  </si>
  <si>
    <t>SPARE PARTS</t>
  </si>
  <si>
    <t>LAND ACQUISITION</t>
  </si>
  <si>
    <t>ENVIRONMENTAL PERMITTING</t>
  </si>
  <si>
    <t>GAS INTERCONNECTION</t>
  </si>
  <si>
    <t>SALES TAX ON EQUIPMENT</t>
  </si>
  <si>
    <t>INSURANCE DURING CONSTR</t>
  </si>
  <si>
    <t>CAPITALIZED SALARIES</t>
  </si>
  <si>
    <t>DEVELOPMENT EXPENSES</t>
  </si>
  <si>
    <t>Travel Expenses</t>
  </si>
  <si>
    <t>LEGAL EXPENSES</t>
  </si>
  <si>
    <t>Andrews &amp; Kurth</t>
  </si>
  <si>
    <t>Vinson &amp; Elkins</t>
  </si>
  <si>
    <t>TO COMPLETE</t>
  </si>
  <si>
    <t>VARIANCE</t>
  </si>
  <si>
    <t>TOTAL DEVELOPMENT EXPENSE</t>
  </si>
  <si>
    <t>TOTAL LEGAL EXPENSE</t>
  </si>
  <si>
    <t>ESTIMATE</t>
  </si>
  <si>
    <t>Current Estimate</t>
  </si>
  <si>
    <t>Actuals to Date</t>
  </si>
  <si>
    <t>%</t>
  </si>
  <si>
    <t>Complete</t>
  </si>
  <si>
    <t>MW</t>
  </si>
  <si>
    <t>Project</t>
  </si>
  <si>
    <t>TOTAL PROGRAM</t>
  </si>
  <si>
    <t xml:space="preserve">  Target $$/MW</t>
  </si>
  <si>
    <t>Estimate to Complete</t>
  </si>
  <si>
    <t>DCS</t>
  </si>
  <si>
    <t>UPS SYSTEM</t>
  </si>
  <si>
    <t>DC SYSTEM</t>
  </si>
  <si>
    <t>STACK MONITORING</t>
  </si>
  <si>
    <t>CONTROL VALVES</t>
  </si>
  <si>
    <t>BRIDGE CRANE</t>
  </si>
  <si>
    <t>15 KV SWITCHGEAR</t>
  </si>
  <si>
    <t>FIELD/SHOP FAB VESSELS</t>
  </si>
  <si>
    <t>SITE PREPARATION</t>
  </si>
  <si>
    <t>SITE IMPROVEMENTS</t>
  </si>
  <si>
    <t>CONCRETE</t>
  </si>
  <si>
    <t>ABOVE GROUND PIPING</t>
  </si>
  <si>
    <t>ABOVE GROUND ELECTRICAL</t>
  </si>
  <si>
    <t>PAINTING</t>
  </si>
  <si>
    <t>INSULATION</t>
  </si>
  <si>
    <t>SWITCHYARD</t>
  </si>
  <si>
    <t>OVERHEAD</t>
  </si>
  <si>
    <t>GENERAL PROVISIONS</t>
  </si>
  <si>
    <t>EECC RECONCILIATION</t>
  </si>
  <si>
    <t>Fulton</t>
  </si>
  <si>
    <t>Brownsville</t>
  </si>
  <si>
    <t>New Albany</t>
  </si>
  <si>
    <t>Caledonia</t>
  </si>
  <si>
    <t>Total</t>
  </si>
  <si>
    <t>Current</t>
  </si>
  <si>
    <t xml:space="preserve">Control </t>
  </si>
  <si>
    <t>Budget</t>
  </si>
  <si>
    <t>Estimate</t>
  </si>
  <si>
    <t>a</t>
  </si>
  <si>
    <t>Major Equipment Detail</t>
  </si>
  <si>
    <t>Refurbishment with DLN Units 1-6</t>
  </si>
  <si>
    <t>Spare Parts</t>
  </si>
  <si>
    <t>(includes commission)</t>
  </si>
  <si>
    <t>Dow Unit</t>
  </si>
  <si>
    <t>Commission</t>
  </si>
  <si>
    <t>Dissassembly</t>
  </si>
  <si>
    <t>4 Kepco Units (original)</t>
  </si>
  <si>
    <t>Purchase</t>
  </si>
  <si>
    <t>Less Steam Turbine</t>
  </si>
  <si>
    <t>1 Kepco Unit (new set)</t>
  </si>
  <si>
    <t>1 of 4 Purchase price</t>
  </si>
  <si>
    <t>Disassembly &amp; shipping</t>
  </si>
  <si>
    <t>Commission 10%</t>
  </si>
  <si>
    <t>Disassemble &amp; move to Kunsan Port</t>
  </si>
  <si>
    <t>Unidentified</t>
  </si>
  <si>
    <t>Purchase &amp; spares</t>
  </si>
  <si>
    <t>Commission (7%)</t>
  </si>
  <si>
    <t>Freight Reimbursement to IBC</t>
  </si>
  <si>
    <t>Allocate to 2000</t>
  </si>
  <si>
    <t>Transformers etc</t>
  </si>
  <si>
    <t>Total IBC items</t>
  </si>
  <si>
    <t>Grand Total Major Equipment</t>
  </si>
  <si>
    <t>a)  Sunk Cost</t>
  </si>
  <si>
    <t>Commission IBC(10%)</t>
  </si>
  <si>
    <t>Commission Natole</t>
  </si>
  <si>
    <t>Spare parts to be reconciled per Miller</t>
  </si>
  <si>
    <t>EECC increased current estimate</t>
  </si>
  <si>
    <t>Decrease Environmental permitting</t>
  </si>
  <si>
    <t xml:space="preserve">Decrease Legal expense </t>
  </si>
  <si>
    <t>Issue</t>
  </si>
  <si>
    <t>Total Savings</t>
  </si>
  <si>
    <t>Tax Handling Fee to LLC for arms length transaction .25% not included in plan</t>
  </si>
  <si>
    <t>Fuel cost during start up not included</t>
  </si>
  <si>
    <t>Decrease Development</t>
  </si>
  <si>
    <t>Issues/Savings</t>
  </si>
  <si>
    <t xml:space="preserve">TVA Peaking Plant </t>
  </si>
  <si>
    <t>Net Increase</t>
  </si>
  <si>
    <t>Savings Recognized</t>
  </si>
  <si>
    <t>RESALE HANDLING FEES (.25%)</t>
  </si>
  <si>
    <t>Other</t>
  </si>
  <si>
    <t>Actuals</t>
  </si>
  <si>
    <t>(Mo-to-date)</t>
  </si>
  <si>
    <t>Report Date:</t>
  </si>
  <si>
    <t>Expenditures to date:</t>
  </si>
  <si>
    <t>Total Project</t>
  </si>
  <si>
    <t>ENRON CAPITAL &amp; TRADE RESOURCES</t>
  </si>
  <si>
    <t>Total to Complete</t>
  </si>
  <si>
    <t>Anticipated</t>
  </si>
  <si>
    <t>Increase /</t>
  </si>
  <si>
    <t>(Savings)</t>
  </si>
  <si>
    <t>To Update:</t>
  </si>
  <si>
    <t>Go to Summary tab</t>
  </si>
  <si>
    <t>Go to LLC tab</t>
  </si>
  <si>
    <t>unhide all columns</t>
  </si>
  <si>
    <t>update actuals for applicable month</t>
  </si>
  <si>
    <t>check totals</t>
  </si>
  <si>
    <t>make sure that sum of Actuals to Date Total Project + Estimate to Complete + variance = Current Estimate amount</t>
  </si>
  <si>
    <t>update variance explanations to current estimate</t>
  </si>
  <si>
    <t>Save file as new name</t>
  </si>
  <si>
    <t>Variance</t>
  </si>
  <si>
    <t>Current Estimate vs Actual Variance Explanations (000s)</t>
  </si>
  <si>
    <t>from CE</t>
  </si>
  <si>
    <t>TOTAL</t>
  </si>
  <si>
    <t>PROJECT</t>
  </si>
  <si>
    <t>DRY TRANSFORMS AND PANELS</t>
  </si>
  <si>
    <t>5KV &amp; 600 V SWITCHGEAR AND MCC'S</t>
  </si>
  <si>
    <t>CONTROL PANELS/TERMINATION BOXES</t>
  </si>
  <si>
    <t>FIELD MOUNTED INSTRUMENTS</t>
  </si>
  <si>
    <t>MINOR MECHANICAL EQUIPMENT</t>
  </si>
  <si>
    <t>COMBUSTION TURBINE GENERATOR</t>
  </si>
  <si>
    <t>PRESSURE REDUCING STATION</t>
  </si>
  <si>
    <t>WATER WASH SKID</t>
  </si>
  <si>
    <t xml:space="preserve">  </t>
  </si>
  <si>
    <t>UNDERGROUND ELECTRICAL (LAB &amp; MATL)</t>
  </si>
  <si>
    <t>UNDERGROUND PIPING (LAB &amp; MATL)</t>
  </si>
  <si>
    <t>GROUT &amp; SPECIAL COATINGS</t>
  </si>
  <si>
    <t>STRUCTURAL STEEL (LAB &amp; MATL)</t>
  </si>
  <si>
    <t>ARCHITECTURAL</t>
  </si>
  <si>
    <t>SUBCONTRACT ERECTED BUILDINGS</t>
  </si>
  <si>
    <t>COMBUSTION TURBINE/GENERATOR</t>
  </si>
  <si>
    <t>MAJOR MECHANICAL EQUIPMENT</t>
  </si>
  <si>
    <t>ENGINEERING-DIRECT LABOR</t>
  </si>
  <si>
    <t>ENGINEERING-CONTRACT LABOR</t>
  </si>
  <si>
    <t>EQUIP RENTAL, FUEL, SMALL TOOLS</t>
  </si>
  <si>
    <t>INDIRECT CONSTRUCTION LABOR</t>
  </si>
  <si>
    <t>PRORATABLE, ALLOWANCES</t>
  </si>
  <si>
    <t>STARTUP, TRAINING, MANUALS</t>
  </si>
  <si>
    <t>Subtotal GE</t>
  </si>
  <si>
    <t>Energy Services</t>
  </si>
  <si>
    <t>TURBINE UNITS, Disassemble</t>
  </si>
  <si>
    <t>TURBINE UNITS, Freight Commission</t>
  </si>
  <si>
    <t>Vendor</t>
  </si>
  <si>
    <t>PUMPS</t>
  </si>
  <si>
    <t>MATERIAL</t>
  </si>
  <si>
    <t xml:space="preserve">SUBCONTRACT </t>
  </si>
  <si>
    <t>LABOR</t>
  </si>
  <si>
    <t>Startup Fuel</t>
  </si>
  <si>
    <t>Power Sales</t>
  </si>
  <si>
    <t>Fuel Cost</t>
  </si>
  <si>
    <t>Subtotal Net Startup Fuel</t>
  </si>
  <si>
    <t>Subtotal Land Acquisition</t>
  </si>
  <si>
    <t>Subtotal Environmental Permitting</t>
  </si>
  <si>
    <t>Salaries</t>
  </si>
  <si>
    <t>COST SUMMARY ($ thousands)</t>
  </si>
  <si>
    <t>Control Budget</t>
  </si>
  <si>
    <t>in cell "Q4" drop in date of Project Tracking report used as backup</t>
  </si>
  <si>
    <t>tie budget and current estimate to report from week before; explain any changes on summary tab</t>
  </si>
  <si>
    <t>Project 2000</t>
  </si>
  <si>
    <t>CONTINGENCY</t>
  </si>
  <si>
    <t>TURBINE UNITS, Purchase - WH501FD (2)</t>
  </si>
  <si>
    <t>TURBINE UNITS, Purchase - WH501F (1)</t>
  </si>
  <si>
    <t>Calvert City, KY</t>
  </si>
  <si>
    <t>Wheatland, IN</t>
  </si>
  <si>
    <t>Subtotal Westinghouse</t>
  </si>
  <si>
    <t>Plano, IL</t>
  </si>
  <si>
    <t>TOTAL-Plano, IL</t>
  </si>
  <si>
    <t>LAND</t>
  </si>
  <si>
    <t>Petersburg, IN</t>
  </si>
  <si>
    <t>Backup Sites</t>
  </si>
  <si>
    <t>Expense /</t>
  </si>
  <si>
    <t>Capital</t>
  </si>
  <si>
    <t>Expense</t>
  </si>
  <si>
    <t>All Plants</t>
  </si>
  <si>
    <t>Changes to Current Estimate Explanations</t>
  </si>
  <si>
    <t>Weekly</t>
  </si>
  <si>
    <t>Land Option</t>
  </si>
  <si>
    <t>Title Commitment</t>
  </si>
  <si>
    <t>Land Purchase</t>
  </si>
  <si>
    <t>Closing Costs</t>
  </si>
  <si>
    <t>Air Permitting -ENSR</t>
  </si>
  <si>
    <t>Groundwater - ENSR</t>
  </si>
  <si>
    <t>Groundwater - NS</t>
  </si>
  <si>
    <t>Other-NS</t>
  </si>
  <si>
    <t>Other -ENSR</t>
  </si>
  <si>
    <t>WATER INTERCONNECT</t>
  </si>
  <si>
    <t>Consulting - Calpine</t>
  </si>
  <si>
    <t>Middleton &amp; Reutlinger</t>
  </si>
  <si>
    <t>INTEREST SWAP</t>
  </si>
  <si>
    <t>Ogden Newell &amp; Welch</t>
  </si>
  <si>
    <t>TRANSFORMERS (Not included w/TDEC)</t>
  </si>
  <si>
    <t>WATER WELL</t>
  </si>
  <si>
    <t>GE CO2 HEATERS</t>
  </si>
  <si>
    <t>ADDITIONAL EVAPORATIVE COOLER</t>
  </si>
  <si>
    <t>ADDITIONAL 5FT STACK HEIGHT</t>
  </si>
  <si>
    <t>Subtotal Other Major Equipment</t>
  </si>
  <si>
    <t>OVERHEADS &amp; FEES</t>
  </si>
  <si>
    <t>EE&amp; C</t>
  </si>
  <si>
    <t>Nepco</t>
  </si>
  <si>
    <t>NEPCO</t>
  </si>
  <si>
    <t>BASE FEE</t>
  </si>
  <si>
    <t>SCHEDULED BONUS</t>
  </si>
  <si>
    <t>COST SAVINGS</t>
  </si>
  <si>
    <t>NEPCO SITE CONSTRUCTION COSTS</t>
  </si>
  <si>
    <t>CONSTRUCTION DIRECTS</t>
  </si>
  <si>
    <t>EECC</t>
  </si>
  <si>
    <t>CONSTRUCTION INDIRECTS</t>
  </si>
  <si>
    <t>NEPCO PURCHASED BOP EQUIPMENT</t>
  </si>
  <si>
    <t>START-UP</t>
  </si>
  <si>
    <t>LANDSCAPING</t>
  </si>
  <si>
    <t>WATER WELLS</t>
  </si>
  <si>
    <t>ADDERS OUTSIDE EECC SCOPE</t>
  </si>
  <si>
    <t>TOTAL NEPCO SITE CONSTRUCTION COSTS</t>
  </si>
  <si>
    <t>TOTAL OVERHEADS &amp; FEES</t>
  </si>
  <si>
    <t>TOTAL ADDERS</t>
  </si>
  <si>
    <t>ECT PROJECT COSTS</t>
  </si>
  <si>
    <t xml:space="preserve">   Subtotal Mobilization of O&amp;M</t>
  </si>
  <si>
    <t>ECT TOTAL Project Costs</t>
  </si>
  <si>
    <t>INTEREST DURING CONSTRUCTION (6.5%)</t>
  </si>
  <si>
    <t>FINANCIAL FEES</t>
  </si>
  <si>
    <t>$/Kw</t>
  </si>
  <si>
    <t>Grand Total Including SWAP &amp; Financial Fees</t>
  </si>
  <si>
    <t>GRAND TOTAL (without Financing Fees &amp; SWAP)</t>
  </si>
  <si>
    <t>Wilton Center, IL</t>
  </si>
  <si>
    <t>Sound Mitigation</t>
  </si>
  <si>
    <t>Evaporative Coolers</t>
  </si>
  <si>
    <t>Roads &amp; Ditches</t>
  </si>
  <si>
    <t>Drainage</t>
  </si>
  <si>
    <t>On-Site Well/Water System</t>
  </si>
  <si>
    <t>Air Permitting</t>
  </si>
  <si>
    <t>Groundwater</t>
  </si>
  <si>
    <t xml:space="preserve">Other </t>
  </si>
  <si>
    <t>TURBINE UNITS, Purchase -GE 7ea (8)</t>
  </si>
  <si>
    <t>TURBINE UNITS - WH501D5A (4)</t>
  </si>
  <si>
    <t>TOTAL PROJECTS</t>
  </si>
  <si>
    <t>Current FIT</t>
  </si>
  <si>
    <t>Financing Costs</t>
  </si>
  <si>
    <t>Construction Costs</t>
  </si>
  <si>
    <t>ELECTRICAL INTERCONNECTION</t>
  </si>
  <si>
    <t>Facilities Study</t>
  </si>
  <si>
    <t>System Impact Study</t>
  </si>
  <si>
    <t>Work Order Cost</t>
  </si>
  <si>
    <t>Subtotal Electrical Interconnection</t>
  </si>
  <si>
    <t>Power INTERCONNECTION</t>
  </si>
  <si>
    <t>EECC Development Costs incurred prior to 6/1/99 that is not included in the budget</t>
  </si>
  <si>
    <t>UNION ADDER/OTHER</t>
  </si>
  <si>
    <t>TRANSFORMERS - Other Misc Charges</t>
  </si>
  <si>
    <t>EECC cost incurred prior to 6/1/99 (includes Capital &amp; Exp)</t>
  </si>
  <si>
    <t>EECC cost incurred prior to 6/1/99  (includes Capital &amp; Exp)</t>
  </si>
  <si>
    <t>Excluding Financing Fee</t>
  </si>
  <si>
    <t>Change in scope with addition of Union Labor</t>
  </si>
  <si>
    <t>as of 7/22/99</t>
  </si>
  <si>
    <t>Tran.to Gleason</t>
  </si>
  <si>
    <t>ELECTRICAL INTERCONNECTION - TVA"S side of fence</t>
  </si>
  <si>
    <t>Startup Fuel * Power</t>
  </si>
  <si>
    <t>Fuel Cost/Power Revenue</t>
  </si>
  <si>
    <t>SWAP</t>
  </si>
  <si>
    <t>Tran.from Calvert</t>
  </si>
  <si>
    <t>Calvert City</t>
  </si>
  <si>
    <t>Gleason, TN</t>
  </si>
  <si>
    <t>Legal</t>
  </si>
  <si>
    <t>SALES TAX ON EQUIPMENT &amp; Materials</t>
  </si>
  <si>
    <t>EQUIPMENT &amp; SMALL TOOL</t>
  </si>
  <si>
    <t>RESERVES</t>
  </si>
  <si>
    <t>General Provisions</t>
  </si>
  <si>
    <t>TOTAL General Provisions</t>
  </si>
  <si>
    <t>BOP Procurement</t>
  </si>
  <si>
    <t>TOTAL BOP Procurement</t>
  </si>
  <si>
    <t>SITE PREPARATION/IMPROVEMENTS - S</t>
  </si>
  <si>
    <t>UNDERGROUND ELECTRICAL - M</t>
  </si>
  <si>
    <t>UNDERGROUND PIPING - M</t>
  </si>
  <si>
    <t>CONCRETE - M</t>
  </si>
  <si>
    <t>STRUCTURAL STEEL - L</t>
  </si>
  <si>
    <t>STRUCTURAL STEEL - M</t>
  </si>
  <si>
    <t>ARCHITECTURAL -S</t>
  </si>
  <si>
    <t>BUILDINGS -S</t>
  </si>
  <si>
    <t>INSTRUMENTATION - L</t>
  </si>
  <si>
    <t>INSULATION &amp; PAINTING -S</t>
  </si>
  <si>
    <t>UNION ADDER ESTIMATE ERROR</t>
  </si>
  <si>
    <t>Construction</t>
  </si>
  <si>
    <t>TOTAL Construction</t>
  </si>
  <si>
    <t>TOTAL SWITCHYARD</t>
  </si>
  <si>
    <t>Switchyard</t>
  </si>
  <si>
    <t>Nepco % Complete</t>
  </si>
  <si>
    <t>Franchise tax</t>
  </si>
  <si>
    <t>(Increase)</t>
  </si>
  <si>
    <t>Consulting - GLC</t>
  </si>
  <si>
    <t>Increase Turbines - Scope Change</t>
  </si>
  <si>
    <t xml:space="preserve">Additional Gas Interconnect Costs </t>
  </si>
  <si>
    <t>Use of Contingency ( Contingency is now zero)</t>
  </si>
  <si>
    <t>Increase Transformers -Scope Change</t>
  </si>
  <si>
    <t xml:space="preserve">  month actual and current month % of Cash Curves)</t>
  </si>
  <si>
    <t xml:space="preserve">Nepco % Cash (difference between prior </t>
  </si>
  <si>
    <t>Increase in Land Acquisition costs</t>
  </si>
  <si>
    <t>Under Original Budget -including unapproved Nepco scope changes</t>
  </si>
  <si>
    <r>
      <t>Increase in Nepco Construction Costs (</t>
    </r>
    <r>
      <rPr>
        <sz val="10"/>
        <color indexed="10"/>
        <rFont val="Arial"/>
        <family val="2"/>
      </rPr>
      <t>includes unaprroved scope changes</t>
    </r>
    <r>
      <rPr>
        <sz val="10"/>
        <rFont val="Arial"/>
      </rPr>
      <t>)-Review Scope Change Tab for further details</t>
    </r>
  </si>
  <si>
    <r>
      <t xml:space="preserve">Increase in Nepco Construction Costs (includes </t>
    </r>
    <r>
      <rPr>
        <sz val="10"/>
        <color indexed="10"/>
        <rFont val="Arial"/>
        <family val="2"/>
      </rPr>
      <t>unaprroved scope changes</t>
    </r>
    <r>
      <rPr>
        <sz val="10"/>
        <rFont val="Arial"/>
      </rPr>
      <t>)-Review Scope Change Tab for further details</t>
    </r>
  </si>
  <si>
    <r>
      <t xml:space="preserve">Over </t>
    </r>
    <r>
      <rPr>
        <sz val="10"/>
        <rFont val="Arial"/>
        <family val="2"/>
      </rPr>
      <t>Original Budget -</t>
    </r>
    <r>
      <rPr>
        <sz val="10"/>
        <color indexed="10"/>
        <rFont val="Arial"/>
        <family val="2"/>
      </rPr>
      <t>including unapproved Nepco scope changes</t>
    </r>
  </si>
  <si>
    <t>Insurance payment more than Budget</t>
  </si>
  <si>
    <t>Franchise Tax</t>
  </si>
  <si>
    <t>Enron Generation Company Costs</t>
  </si>
  <si>
    <t>Cost related to Enron Generation Company, Standard &amp; poors, RW Beck and AES Corp</t>
  </si>
  <si>
    <t>Enron Generation Comp Costs</t>
  </si>
  <si>
    <t>Water Interconnect, budgeted at zero</t>
  </si>
  <si>
    <t>Misc, $25 land over budget</t>
  </si>
  <si>
    <t>Increase in TVA interconnect Costs - Redesign burden</t>
  </si>
  <si>
    <t>Other -1/2 of redsign costs to change project to Gleason</t>
  </si>
  <si>
    <t xml:space="preserve"> </t>
  </si>
  <si>
    <t>Everst Legal Expense</t>
  </si>
  <si>
    <t>Everest Legal Costs</t>
  </si>
  <si>
    <t>Everest Legal</t>
  </si>
  <si>
    <t>Cost related to Enron Generation Company, Standard &amp; Poors, RW Beck and AES Corp</t>
  </si>
  <si>
    <t>Johnsonville-Weakly 500-kV TlL--Install Interconnection Facility</t>
  </si>
  <si>
    <t>Gleason, TN 500 kV Sw Sta--Provide Interconnection</t>
  </si>
  <si>
    <t>Gleason Power 1, LLC --Provide Engr/Matl Support</t>
  </si>
  <si>
    <t xml:space="preserve">Johnsonville FP--Provide Relaying Circuits </t>
  </si>
  <si>
    <t>Weakly, TN 500 kV Sub--Install MW Terminal</t>
  </si>
  <si>
    <t>Shawnee FP--Provide Channel Interconnections</t>
  </si>
  <si>
    <t>S. Nashville, Tn 161 kV Sub --Provide Channel Interconnect</t>
  </si>
  <si>
    <t>S Jackson, TN 161 kV Sub--Provide Channel Interconnections</t>
  </si>
  <si>
    <t>Wilson HP--Provide Channel Crossconnection</t>
  </si>
  <si>
    <t xml:space="preserve">Jackson, TN  500kV Sub--Install MW Terminal </t>
  </si>
  <si>
    <t>Rock Springs MW Rptr Sta--Intall MW Repeater Equipment</t>
  </si>
  <si>
    <t xml:space="preserve">PSCC--Provide SCADA Terminations </t>
  </si>
  <si>
    <t>COC/PBS--Provide SCADA Terminations</t>
  </si>
  <si>
    <t>Martin, TN 161 kV Sub--Install DTL Mux</t>
  </si>
  <si>
    <t>Marshall, KY 500 kV Sub--Install DTL Mux</t>
  </si>
  <si>
    <t>Lynn Grove MW Rpt Sta--Install DTL Mux</t>
  </si>
  <si>
    <t>Milan -Weakly 161 kV Tl--Upgrade Milan -Rutherford Section</t>
  </si>
  <si>
    <t>Plug to get back to budget</t>
  </si>
  <si>
    <t>Increase in Transformer Costs, including three spare bushings</t>
  </si>
  <si>
    <t>Increase in Land -TVA Easement</t>
  </si>
  <si>
    <t>Increase in Environmental Permitting</t>
  </si>
  <si>
    <t xml:space="preserve">FREIGHT </t>
  </si>
  <si>
    <t>SITE PREPARATION/IMPROVEMENTS - M</t>
  </si>
  <si>
    <t>BACKCHARGE</t>
  </si>
  <si>
    <t>Decrease  Interest During Construction</t>
  </si>
  <si>
    <t>Backing out Acceleration Scope Change</t>
  </si>
  <si>
    <t>ENGINEERING REWORK</t>
  </si>
  <si>
    <t>CHANGE ORDERS</t>
  </si>
  <si>
    <t>BACKCHARGES</t>
  </si>
  <si>
    <t>SITE RELOCATION</t>
  </si>
  <si>
    <t>POWER INTERCONNECTION -Com Ed</t>
  </si>
  <si>
    <t>Decrease in IDC</t>
  </si>
  <si>
    <t>Increase in Power Interconnect cost associated with Com Ed</t>
  </si>
  <si>
    <t xml:space="preserve">Increase Development , including GLC consulting costs </t>
  </si>
  <si>
    <t>Mobilization Fee OEC</t>
  </si>
  <si>
    <t>Reimbursable Cost OEC</t>
  </si>
  <si>
    <t>Reimbursable Costs OEC</t>
  </si>
  <si>
    <t>Reimbursble Costs OEC</t>
  </si>
  <si>
    <t>TOTAL ILLINOIS PLANT COSTS</t>
  </si>
  <si>
    <t>PROJECT MANAGEMENT</t>
  </si>
  <si>
    <t>PROJECT INDIRECTS</t>
  </si>
  <si>
    <t>A/G PIPING</t>
  </si>
  <si>
    <t>A/G ELECTRICAL</t>
  </si>
  <si>
    <t>EQUIPMENT</t>
  </si>
  <si>
    <t>UNDERGROUND ELECTRICAL - L &amp; S</t>
  </si>
  <si>
    <t>UNDERGROUND PIPING - L &amp; S</t>
  </si>
  <si>
    <t>GROUT - L</t>
  </si>
  <si>
    <t>BUILDINGS/ENCLOSURES -S</t>
  </si>
  <si>
    <t>A/G PIPING - L &amp; S</t>
  </si>
  <si>
    <t>A/G ELECTRICAL - L &amp; S</t>
  </si>
  <si>
    <t>GROUT - M</t>
  </si>
  <si>
    <t>CONCRETE - L &amp; S</t>
  </si>
  <si>
    <t>PLANT STARTUP - L, M &amp; S</t>
  </si>
  <si>
    <t>MECHANICAL EQUIPMENT - L &amp; S</t>
  </si>
  <si>
    <t>INSTRUMENTATION - L &amp; S</t>
  </si>
  <si>
    <t>PLANT STARTUP - L &amp; S</t>
  </si>
  <si>
    <t>GROUT - L &amp; S</t>
  </si>
  <si>
    <t>Plug to get back to Nepco's Forecast (In some cases Actuals are higher than forecast)</t>
  </si>
  <si>
    <t xml:space="preserve">STRUCTURAL STEEL - L </t>
  </si>
  <si>
    <t>44A26</t>
  </si>
  <si>
    <t>SHELBY</t>
  </si>
  <si>
    <t>Grand Total Including SHELBY</t>
  </si>
  <si>
    <t>Shelby, TN 500KV SS - Install 500 161 KV Transformer Bank#2</t>
  </si>
  <si>
    <t>Cordova-Shelby 500KV TL  Reterminate at Shelby</t>
  </si>
  <si>
    <t xml:space="preserve"> As of 4/14/00</t>
  </si>
  <si>
    <t>Electrical Interconnect - Not TVA</t>
  </si>
  <si>
    <t>Property Tax</t>
  </si>
  <si>
    <t>Start-up Fuel costs higher than budgeted</t>
  </si>
  <si>
    <t>Increase in Electrical Interconnect - Non TVA</t>
  </si>
  <si>
    <t>Increase in Start-up Fuel</t>
  </si>
  <si>
    <t>54C 1070</t>
  </si>
  <si>
    <t>44Q 1070</t>
  </si>
  <si>
    <t>44Q 9310</t>
  </si>
  <si>
    <t>2360  Property tax</t>
  </si>
  <si>
    <t>4082-400 franchise</t>
  </si>
  <si>
    <t>44Q 2160</t>
  </si>
  <si>
    <t>Reduced Forecast - Capitalized Salaries</t>
  </si>
  <si>
    <t>diff</t>
  </si>
  <si>
    <t>44W 1070</t>
  </si>
  <si>
    <t>44W 9310</t>
  </si>
  <si>
    <t>IDC</t>
  </si>
  <si>
    <t>44W 2360</t>
  </si>
  <si>
    <t>44W 4092</t>
  </si>
  <si>
    <t>Rev accrual</t>
  </si>
  <si>
    <t>Legal Reclass</t>
  </si>
  <si>
    <t>IDC correction</t>
  </si>
  <si>
    <t>Start Up Fuel</t>
  </si>
  <si>
    <t>*Note: Costs being booked as a receivable, with the receivable being reduced over time equal to the transmission credits used. Ending receivable balance to be repaid by TVA to ENA 2009</t>
  </si>
  <si>
    <t>Land Purchase - Marshall County Rd Pavement, Water Supply to land owners</t>
  </si>
  <si>
    <t>As of 07/31/00</t>
  </si>
  <si>
    <t>Increase in Permitting</t>
  </si>
  <si>
    <t>Increase Permitting</t>
  </si>
  <si>
    <t>Annexation agreement/roadway improvement</t>
  </si>
  <si>
    <t>Overtime assoc. with start-up &amp; backfeed invoices not included in budget</t>
  </si>
  <si>
    <t>Project Reports</t>
  </si>
  <si>
    <t>Spare parts</t>
  </si>
  <si>
    <t>Mobilization</t>
  </si>
  <si>
    <t xml:space="preserve">Expenses </t>
  </si>
  <si>
    <t>Expenses</t>
  </si>
  <si>
    <t>Project Report</t>
  </si>
  <si>
    <t>Sales Tax</t>
  </si>
  <si>
    <t>Temp variance, plant clerk will reclass labor as commerical not mobilization</t>
  </si>
  <si>
    <t xml:space="preserve">Recalculated Interest During Construction ( 6.50%) </t>
  </si>
  <si>
    <t>Decrease in Estimate to complete Power Interconnect</t>
  </si>
  <si>
    <t>mobilization</t>
  </si>
  <si>
    <t>44W CWIP</t>
  </si>
  <si>
    <t>44W A/R - shelby</t>
  </si>
  <si>
    <t>Per Above</t>
  </si>
  <si>
    <t>Difference</t>
  </si>
  <si>
    <t>October</t>
  </si>
  <si>
    <t>Expense - 413</t>
  </si>
  <si>
    <t>Capital - 39B</t>
  </si>
  <si>
    <t>October Activity</t>
  </si>
  <si>
    <t>Revision # 66</t>
  </si>
  <si>
    <t xml:space="preserve"> As of 10/20/00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</si>
</sst>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3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&quot;$&quot;#,##0"/>
    <numFmt numFmtId="166" formatCode="mmmm\ d\,\ yyyy"/>
    <numFmt numFmtId="168" formatCode="_(&quot;$&quot;* #,##0_);_(&quot;$&quot;* \(#,##0\);_(&quot;$&quot;* &quot;-&quot;??_);_(@_)"/>
    <numFmt numFmtId="169" formatCode="0.0%"/>
    <numFmt numFmtId="174" formatCode="_(* #,##0.0000_);_(* \(#,##0.0000\);_(* &quot;-&quot;??_);_(@_)"/>
    <numFmt numFmtId="179" formatCode="0.000"/>
    <numFmt numFmtId="180" formatCode="000"/>
    <numFmt numFmtId="185" formatCode="_(&quot;R$&quot;* #,##0_);_(&quot;R$&quot;* \(#,##0\);_(&quot;R$&quot;* &quot;-&quot;_);_(@_)"/>
    <numFmt numFmtId="186" formatCode="_(&quot;R$&quot;* #,##0.00_);_(&quot;R$&quot;* \(#,##0.00\);_(&quot;R$&quot;* &quot;-&quot;??_);_(@_)"/>
    <numFmt numFmtId="199" formatCode="&quot;$&quot;#,##0;[Red]\-&quot;$&quot;#,##0"/>
    <numFmt numFmtId="201" formatCode="&quot;$&quot;#,##0.00;[Red]\-&quot;$&quot;#,##0.00"/>
    <numFmt numFmtId="202" formatCode="_-&quot;$&quot;* #,##0_-;\-&quot;$&quot;* #,##0_-;_-&quot;$&quot;* &quot;-&quot;_-;_-@_-"/>
    <numFmt numFmtId="203" formatCode="_-* #,##0_-;\-* #,##0_-;_-* &quot;-&quot;_-;_-@_-"/>
    <numFmt numFmtId="204" formatCode="_-&quot;$&quot;* #,##0.00_-;\-&quot;$&quot;* #,##0.00_-;_-&quot;$&quot;* &quot;-&quot;??_-;_-@_-"/>
    <numFmt numFmtId="205" formatCode="_-* #,##0.00_-;\-* #,##0.00_-;_-* &quot;-&quot;??_-;_-@_-"/>
    <numFmt numFmtId="233" formatCode="#,##0.0_);\(#,##0.0\)"/>
    <numFmt numFmtId="247" formatCode="m\-d\-yy"/>
    <numFmt numFmtId="249" formatCode="General_)"/>
    <numFmt numFmtId="250" formatCode="0.00_)"/>
    <numFmt numFmtId="257" formatCode="0_);\(0\)"/>
    <numFmt numFmtId="259" formatCode="00\-000"/>
    <numFmt numFmtId="261" formatCode="#,###"/>
    <numFmt numFmtId="268" formatCode="#.##%"/>
    <numFmt numFmtId="269" formatCode="#.#%"/>
    <numFmt numFmtId="270" formatCode="#.0%"/>
    <numFmt numFmtId="271" formatCode="#,###.0#"/>
    <numFmt numFmtId="272" formatCode="#,###.#"/>
    <numFmt numFmtId="273" formatCode="0000\ \-\ 0000"/>
    <numFmt numFmtId="279" formatCode="&quot;£&quot;#,##0;[Red]\-&quot;£&quot;#,##0"/>
    <numFmt numFmtId="281" formatCode="&quot;£&quot;#,##0.00;[Red]\-&quot;£&quot;#,##0.00"/>
    <numFmt numFmtId="282" formatCode="_-&quot;£&quot;* #,##0_-;\-&quot;£&quot;* #,##0_-;_-&quot;£&quot;* &quot;-&quot;_-;_-@_-"/>
    <numFmt numFmtId="283" formatCode="_-&quot;£&quot;* #,##0.00_-;\-&quot;£&quot;* #,##0.00_-;_-&quot;£&quot;* &quot;-&quot;??_-;_-@_-"/>
    <numFmt numFmtId="285" formatCode="#,##0&quot;£&quot;_);\(#,##0&quot;£&quot;\)"/>
    <numFmt numFmtId="286" formatCode="#,##0&quot;£&quot;_);[Red]\(#,##0&quot;£&quot;\)"/>
    <numFmt numFmtId="287" formatCode="#,##0.00&quot;£&quot;_);\(#,##0.00&quot;£&quot;\)"/>
    <numFmt numFmtId="290" formatCode="_ * #,##0_)_£_ ;_ * \(#,##0\)_£_ ;_ * &quot;-&quot;_)_£_ ;_ @_ "/>
    <numFmt numFmtId="297" formatCode="_-* #,##0\ &quot;F&quot;_-;\-* #,##0\ &quot;F&quot;_-;_-* &quot;-&quot;\ &quot;F&quot;_-;_-@_-"/>
    <numFmt numFmtId="298" formatCode="_-* #,##0\ _F_-;\-* #,##0\ _F_-;_-* &quot;-&quot;\ _F_-;_-@_-"/>
    <numFmt numFmtId="299" formatCode="_-* #,##0.00\ &quot;F&quot;_-;\-* #,##0.00\ &quot;F&quot;_-;_-* &quot;-&quot;??\ &quot;F&quot;_-;_-@_-"/>
    <numFmt numFmtId="300" formatCode="_-* #,##0.00\ _F_-;\-* #,##0.00\ _F_-;_-* &quot;-&quot;??\ _F_-;_-@_-"/>
    <numFmt numFmtId="302" formatCode="d/m/yy\ h:mm"/>
    <numFmt numFmtId="309" formatCode="#,##0.00&quot; $&quot;;\-#,##0.00&quot; $&quot;"/>
    <numFmt numFmtId="310" formatCode="#,##0.00&quot; $&quot;;[Red]\-#,##0.00&quot; $&quot;"/>
    <numFmt numFmtId="314" formatCode="mmm\.yy"/>
    <numFmt numFmtId="315" formatCode="d\.m\.yy\ h:mm"/>
    <numFmt numFmtId="316" formatCode="0&quot;  &quot;"/>
    <numFmt numFmtId="317" formatCode="0.00&quot;  &quot;"/>
    <numFmt numFmtId="318" formatCode="0.0&quot;  &quot;"/>
    <numFmt numFmtId="321" formatCode="0.00000&quot;  &quot;"/>
    <numFmt numFmtId="322" formatCode="#,##0.000_);[Red]\(#,##0.000\)"/>
    <numFmt numFmtId="324" formatCode="_-* #,##0.0_-;\-* #,##0.0_-;_-* &quot;-&quot;??_-;_-@_-"/>
    <numFmt numFmtId="326" formatCode=";;;"/>
    <numFmt numFmtId="329" formatCode="#,##0.0000_);[Red]\(#,##0.0000\)"/>
    <numFmt numFmtId="341" formatCode="#,##0.000_);\(#,##0.000\)"/>
    <numFmt numFmtId="342" formatCode="&quot;$&quot;#,##0.0;[Red]\(&quot;$&quot;#,##0.0\)"/>
    <numFmt numFmtId="343" formatCode="#,##0.0;[Red]\(#,##0.0\)"/>
    <numFmt numFmtId="344" formatCode="#,##0.00_);\(#,##0.0\)"/>
    <numFmt numFmtId="345" formatCode="#,##0.0_);[Red]\(#,##0\)"/>
    <numFmt numFmtId="348" formatCode="0.0%_);[Red]\(0.0%\)"/>
    <numFmt numFmtId="349" formatCode="#,##0_);[Red]\(#,##0,\)*1000"/>
    <numFmt numFmtId="350" formatCode="#,##0.0_);[Red]\(#,##0.0\)*1000"/>
    <numFmt numFmtId="351" formatCode="#,##0.00_);[Red]\(#,##0.00\)*1000"/>
    <numFmt numFmtId="353" formatCode="0%\);[Red]\(0%\)"/>
    <numFmt numFmtId="354" formatCode="0%_);[Red]\(0%\)"/>
    <numFmt numFmtId="355" formatCode="&quot;$&quot;0.0"/>
  </numFmts>
  <fonts count="78">
    <font>
      <sz val="10"/>
      <name val="Arial"/>
    </font>
    <font>
      <sz val="10"/>
      <name val="Arial"/>
    </font>
    <font>
      <b/>
      <sz val="12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4"/>
      <name val="Arial"/>
      <family val="2"/>
    </font>
    <font>
      <sz val="10"/>
      <color indexed="12"/>
      <name val="Arial"/>
      <family val="2"/>
    </font>
    <font>
      <b/>
      <sz val="10"/>
      <color indexed="12"/>
      <name val="Arial"/>
      <family val="2"/>
    </font>
    <font>
      <sz val="12"/>
      <color indexed="12"/>
      <name val="Arial"/>
      <family val="2"/>
    </font>
    <font>
      <b/>
      <sz val="12"/>
      <color indexed="12"/>
      <name val="Arial"/>
      <family val="2"/>
    </font>
    <font>
      <sz val="7"/>
      <name val="Arial"/>
      <family val="2"/>
    </font>
    <font>
      <b/>
      <u/>
      <sz val="10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b/>
      <sz val="10"/>
      <color indexed="10"/>
      <name val="Arial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sz val="10"/>
      <color indexed="10"/>
      <name val="Arial"/>
      <family val="2"/>
    </font>
    <font>
      <b/>
      <sz val="10"/>
      <name val="Arial"/>
    </font>
    <font>
      <sz val="9"/>
      <name val="Arial"/>
      <family val="2"/>
    </font>
    <font>
      <b/>
      <sz val="9"/>
      <name val="Arial"/>
      <family val="2"/>
    </font>
    <font>
      <sz val="10"/>
      <name val="Helv"/>
      <family val="2"/>
    </font>
    <font>
      <sz val="12"/>
      <name val="???"/>
      <family val="1"/>
      <charset val="129"/>
    </font>
    <font>
      <sz val="12"/>
      <name val="???"/>
      <family val="3"/>
      <charset val="129"/>
    </font>
    <font>
      <sz val="10"/>
      <name val="???"/>
      <family val="3"/>
      <charset val="129"/>
    </font>
    <font>
      <sz val="11"/>
      <name val="??"/>
      <family val="3"/>
      <charset val="129"/>
    </font>
    <font>
      <sz val="10"/>
      <name val="MS Sans Serif"/>
      <family val="2"/>
    </font>
    <font>
      <sz val="11"/>
      <name val="???"/>
      <family val="1"/>
      <charset val="129"/>
    </font>
    <font>
      <sz val="11"/>
      <name val="???"/>
      <family val="3"/>
      <charset val="129"/>
    </font>
    <font>
      <sz val="10"/>
      <name val="Arial Narrow"/>
      <family val="2"/>
    </font>
    <font>
      <sz val="10"/>
      <name val="MS Sans Serif"/>
    </font>
    <font>
      <sz val="10"/>
      <name val="Geneva"/>
      <family val="2"/>
    </font>
    <font>
      <sz val="10"/>
      <name val="Book Antiqua"/>
      <family val="1"/>
    </font>
    <font>
      <sz val="10"/>
      <name val="Times New Roman"/>
    </font>
    <font>
      <sz val="10"/>
      <name val="Times New Roman"/>
      <family val="1"/>
    </font>
    <font>
      <sz val="10"/>
      <name val="Advisor SSi"/>
      <family val="1"/>
    </font>
    <font>
      <sz val="10"/>
      <name val="Helv"/>
    </font>
    <font>
      <b/>
      <u/>
      <sz val="11"/>
      <color indexed="37"/>
      <name val="Arial"/>
      <family val="2"/>
    </font>
    <font>
      <sz val="7"/>
      <name val="Small Fonts"/>
    </font>
    <font>
      <b/>
      <i/>
      <sz val="16"/>
      <name val="Helv"/>
    </font>
    <font>
      <sz val="10"/>
      <name val="Courier"/>
    </font>
    <font>
      <sz val="12"/>
      <name val="Helv"/>
      <family val="2"/>
    </font>
    <font>
      <sz val="12"/>
      <name val="Courier"/>
      <family val="3"/>
    </font>
    <font>
      <sz val="8"/>
      <name val="Courier"/>
      <family val="3"/>
    </font>
    <font>
      <sz val="8"/>
      <name val="Arial"/>
    </font>
    <font>
      <sz val="8"/>
      <name val="Arial"/>
    </font>
    <font>
      <sz val="12"/>
      <name val="Times New Roman"/>
      <family val="1"/>
    </font>
    <font>
      <sz val="10"/>
      <name val="Courier"/>
      <family val="3"/>
    </font>
    <font>
      <sz val="10"/>
      <color indexed="8"/>
      <name val="MS Sans Serif"/>
    </font>
    <font>
      <sz val="10"/>
      <name val="Univers (W1)"/>
    </font>
    <font>
      <sz val="12"/>
      <name val="Times New Roman"/>
    </font>
    <font>
      <sz val="10"/>
      <name val="Univers (W1)"/>
      <family val="2"/>
    </font>
    <font>
      <b/>
      <sz val="14"/>
      <name val="Times New Roman"/>
      <family val="1"/>
    </font>
    <font>
      <b/>
      <sz val="14"/>
      <name val="Times New Roman"/>
    </font>
    <font>
      <sz val="10"/>
      <name val="Geneva"/>
    </font>
    <font>
      <sz val="14"/>
      <name val="AngsanaUPC"/>
      <family val="1"/>
    </font>
    <font>
      <sz val="9"/>
      <name val="Arial Narrow"/>
      <family val="2"/>
    </font>
    <font>
      <sz val="7"/>
      <name val="Arial"/>
    </font>
    <font>
      <sz val="10"/>
      <name val="Times"/>
    </font>
    <font>
      <sz val="12"/>
      <name val="EucrosiaUPC"/>
      <family val="1"/>
    </font>
    <font>
      <sz val="14"/>
      <name val="CordiaUPC"/>
      <family val="1"/>
    </font>
    <font>
      <sz val="14"/>
      <name val="FreesiaUPC"/>
      <family val="1"/>
    </font>
    <font>
      <sz val="12"/>
      <name val="PathWay Access 3.0"/>
      <family val="3"/>
    </font>
    <font>
      <sz val="12"/>
      <name val="Helv"/>
    </font>
    <font>
      <sz val="8.5"/>
      <name val="MS Sans Serif"/>
      <family val="2"/>
    </font>
    <font>
      <sz val="9"/>
      <name val="Arial"/>
    </font>
    <font>
      <sz val="11"/>
      <name val="Book Antiqua"/>
      <family val="1"/>
    </font>
    <font>
      <sz val="8"/>
      <name val="Tms Rmn"/>
    </font>
    <font>
      <sz val="10"/>
      <name val="Tms Rmn"/>
    </font>
    <font>
      <sz val="10"/>
      <name val="TimesNewRomanPS"/>
      <family val="1"/>
    </font>
    <font>
      <sz val="8"/>
      <name val="Times New Roman"/>
      <family val="1"/>
    </font>
    <font>
      <sz val="8"/>
      <name val="Times New Roman"/>
    </font>
    <font>
      <sz val="8"/>
      <color indexed="12"/>
      <name val="Arial"/>
      <family val="2"/>
    </font>
    <font>
      <b/>
      <sz val="11"/>
      <name val="Arial"/>
      <family val="2"/>
    </font>
    <font>
      <b/>
      <u/>
      <sz val="1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</fills>
  <borders count="34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1">
    <xf numFmtId="0" fontId="0" fillId="0" borderId="0"/>
    <xf numFmtId="0" fontId="25" fillId="0" borderId="0"/>
    <xf numFmtId="247" fontId="21" fillId="2" borderId="1">
      <alignment horizontal="center" vertical="center"/>
    </xf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6" fontId="28" fillId="0" borderId="0">
      <protection locked="0"/>
    </xf>
    <xf numFmtId="324" fontId="1" fillId="0" borderId="0">
      <protection locked="0"/>
    </xf>
    <xf numFmtId="38" fontId="7" fillId="4" borderId="0" applyNumberFormat="0" applyBorder="0" applyAlignment="0" applyProtection="0"/>
    <xf numFmtId="0" fontId="40" fillId="0" borderId="0" applyNumberFormat="0" applyFill="0" applyBorder="0" applyAlignment="0" applyProtection="0"/>
    <xf numFmtId="309" fontId="1" fillId="0" borderId="0">
      <protection locked="0"/>
    </xf>
    <xf numFmtId="309" fontId="1" fillId="0" borderId="0">
      <protection locked="0"/>
    </xf>
    <xf numFmtId="0" fontId="9" fillId="0" borderId="2" applyNumberFormat="0" applyFill="0" applyAlignment="0" applyProtection="0"/>
    <xf numFmtId="10" fontId="7" fillId="5" borderId="3" applyNumberFormat="0" applyBorder="0" applyAlignment="0" applyProtection="0"/>
    <xf numFmtId="37" fontId="41" fillId="0" borderId="0"/>
    <xf numFmtId="250" fontId="42" fillId="0" borderId="0"/>
    <xf numFmtId="9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309" fontId="1" fillId="0" borderId="5">
      <protection locked="0"/>
    </xf>
    <xf numFmtId="37" fontId="7" fillId="7" borderId="0" applyNumberFormat="0" applyBorder="0" applyAlignment="0" applyProtection="0"/>
    <xf numFmtId="37" fontId="47" fillId="0" borderId="0"/>
    <xf numFmtId="3" fontId="75" fillId="0" borderId="2" applyProtection="0"/>
  </cellStyleXfs>
  <cellXfs count="294">
    <xf numFmtId="0" fontId="0" fillId="0" borderId="0" xfId="0"/>
    <xf numFmtId="0" fontId="3" fillId="0" borderId="0" xfId="0" applyFont="1" applyFill="1" applyBorder="1"/>
    <xf numFmtId="0" fontId="2" fillId="0" borderId="0" xfId="0" applyFont="1" applyFill="1" applyBorder="1" applyAlignment="1">
      <alignment horizontal="right" vertical="center"/>
    </xf>
    <xf numFmtId="0" fontId="2" fillId="7" borderId="0" xfId="0" applyFont="1" applyFill="1" applyBorder="1"/>
    <xf numFmtId="0" fontId="5" fillId="0" borderId="0" xfId="0" applyFont="1"/>
    <xf numFmtId="0" fontId="5" fillId="0" borderId="0" xfId="0" applyFont="1" applyAlignment="1">
      <alignment horizontal="center"/>
    </xf>
    <xf numFmtId="164" fontId="5" fillId="0" borderId="0" xfId="3" applyNumberFormat="1" applyFont="1"/>
    <xf numFmtId="164" fontId="6" fillId="0" borderId="0" xfId="3" applyNumberFormat="1" applyFont="1" applyAlignment="1">
      <alignment horizontal="center"/>
    </xf>
    <xf numFmtId="0" fontId="6" fillId="0" borderId="0" xfId="0" applyFont="1" applyAlignment="1">
      <alignment horizontal="center"/>
    </xf>
    <xf numFmtId="164" fontId="6" fillId="0" borderId="0" xfId="3" applyNumberFormat="1" applyFont="1"/>
    <xf numFmtId="164" fontId="6" fillId="0" borderId="0" xfId="3" applyNumberFormat="1" applyFont="1" applyBorder="1"/>
    <xf numFmtId="0" fontId="5" fillId="0" borderId="0" xfId="0" applyFont="1" applyBorder="1"/>
    <xf numFmtId="164" fontId="5" fillId="0" borderId="0" xfId="3" applyNumberFormat="1" applyFont="1" applyBorder="1"/>
    <xf numFmtId="164" fontId="6" fillId="7" borderId="0" xfId="3" applyNumberFormat="1" applyFont="1" applyFill="1"/>
    <xf numFmtId="0" fontId="5" fillId="0" borderId="6" xfId="0" applyFont="1" applyFill="1" applyBorder="1"/>
    <xf numFmtId="0" fontId="5" fillId="0" borderId="0" xfId="0" applyFont="1" applyFill="1"/>
    <xf numFmtId="164" fontId="6" fillId="0" borderId="0" xfId="3" applyNumberFormat="1" applyFont="1" applyFill="1"/>
    <xf numFmtId="0" fontId="5" fillId="0" borderId="0" xfId="0" applyFont="1" applyFill="1" applyBorder="1" applyAlignment="1">
      <alignment vertical="center"/>
    </xf>
    <xf numFmtId="0" fontId="3" fillId="0" borderId="0" xfId="0" applyFont="1"/>
    <xf numFmtId="0" fontId="2" fillId="0" borderId="0" xfId="0" applyFont="1" applyFill="1" applyBorder="1"/>
    <xf numFmtId="164" fontId="5" fillId="0" borderId="0" xfId="0" applyNumberFormat="1" applyFont="1"/>
    <xf numFmtId="0" fontId="6" fillId="0" borderId="0" xfId="0" applyFont="1"/>
    <xf numFmtId="164" fontId="5" fillId="0" borderId="0" xfId="3" applyNumberFormat="1" applyFont="1" applyFill="1"/>
    <xf numFmtId="166" fontId="2" fillId="0" borderId="0" xfId="3" applyNumberFormat="1" applyFont="1"/>
    <xf numFmtId="0" fontId="2" fillId="0" borderId="0" xfId="0" applyFont="1"/>
    <xf numFmtId="168" fontId="0" fillId="0" borderId="0" xfId="4" applyNumberFormat="1" applyFont="1"/>
    <xf numFmtId="0" fontId="6" fillId="0" borderId="0" xfId="0" applyFont="1" applyAlignment="1">
      <alignment horizontal="right"/>
    </xf>
    <xf numFmtId="0" fontId="6" fillId="0" borderId="7" xfId="0" applyFont="1" applyBorder="1" applyAlignment="1">
      <alignment horizontal="center"/>
    </xf>
    <xf numFmtId="14" fontId="6" fillId="0" borderId="8" xfId="0" applyNumberFormat="1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0" fillId="0" borderId="0" xfId="0" applyBorder="1"/>
    <xf numFmtId="0" fontId="6" fillId="0" borderId="0" xfId="0" applyFont="1" applyBorder="1"/>
    <xf numFmtId="0" fontId="6" fillId="0" borderId="0" xfId="0" applyFont="1" applyFill="1" applyBorder="1"/>
    <xf numFmtId="0" fontId="0" fillId="0" borderId="0" xfId="0" applyFill="1"/>
    <xf numFmtId="164" fontId="4" fillId="0" borderId="0" xfId="3" applyNumberFormat="1" applyFont="1"/>
    <xf numFmtId="164" fontId="0" fillId="0" borderId="0" xfId="3" applyNumberFormat="1" applyFont="1"/>
    <xf numFmtId="164" fontId="0" fillId="0" borderId="4" xfId="3" applyNumberFormat="1" applyFont="1" applyBorder="1"/>
    <xf numFmtId="0" fontId="0" fillId="0" borderId="0" xfId="0" quotePrefix="1"/>
    <xf numFmtId="164" fontId="0" fillId="0" borderId="0" xfId="0" applyNumberFormat="1"/>
    <xf numFmtId="164" fontId="6" fillId="0" borderId="0" xfId="0" applyNumberFormat="1" applyFont="1"/>
    <xf numFmtId="164" fontId="0" fillId="0" borderId="0" xfId="3" applyNumberFormat="1" applyFont="1" applyFill="1"/>
    <xf numFmtId="164" fontId="0" fillId="0" borderId="4" xfId="3" applyNumberFormat="1" applyFont="1" applyFill="1" applyBorder="1"/>
    <xf numFmtId="164" fontId="0" fillId="0" borderId="0" xfId="0" applyNumberFormat="1" applyFill="1"/>
    <xf numFmtId="0" fontId="8" fillId="0" borderId="0" xfId="0" applyFont="1"/>
    <xf numFmtId="164" fontId="0" fillId="0" borderId="0" xfId="3" quotePrefix="1" applyNumberFormat="1" applyFont="1" applyFill="1" applyAlignment="1">
      <alignment horizontal="right"/>
    </xf>
    <xf numFmtId="164" fontId="6" fillId="0" borderId="5" xfId="0" applyNumberFormat="1" applyFont="1" applyBorder="1"/>
    <xf numFmtId="164" fontId="5" fillId="0" borderId="0" xfId="0" applyNumberFormat="1" applyFont="1" applyBorder="1"/>
    <xf numFmtId="164" fontId="6" fillId="0" borderId="9" xfId="0" applyNumberFormat="1" applyFont="1" applyBorder="1"/>
    <xf numFmtId="164" fontId="6" fillId="0" borderId="4" xfId="0" applyNumberFormat="1" applyFont="1" applyBorder="1"/>
    <xf numFmtId="0" fontId="0" fillId="0" borderId="0" xfId="0" applyAlignment="1">
      <alignment horizontal="center"/>
    </xf>
    <xf numFmtId="164" fontId="0" fillId="0" borderId="4" xfId="0" applyNumberFormat="1" applyBorder="1"/>
    <xf numFmtId="164" fontId="0" fillId="0" borderId="0" xfId="3" applyNumberFormat="1" applyFont="1" applyBorder="1"/>
    <xf numFmtId="164" fontId="0" fillId="0" borderId="0" xfId="0" applyNumberFormat="1" applyBorder="1"/>
    <xf numFmtId="14" fontId="6" fillId="0" borderId="8" xfId="0" quotePrefix="1" applyNumberFormat="1" applyFont="1" applyBorder="1" applyAlignment="1">
      <alignment horizontal="center"/>
    </xf>
    <xf numFmtId="0" fontId="6" fillId="7" borderId="0" xfId="0" applyFont="1" applyFill="1" applyBorder="1"/>
    <xf numFmtId="0" fontId="6" fillId="0" borderId="0" xfId="0" applyFont="1" applyFill="1" applyBorder="1" applyAlignment="1">
      <alignment horizontal="right" vertical="center"/>
    </xf>
    <xf numFmtId="0" fontId="6" fillId="0" borderId="6" xfId="0" applyFont="1" applyFill="1" applyBorder="1" applyAlignment="1">
      <alignment vertical="center"/>
    </xf>
    <xf numFmtId="0" fontId="5" fillId="0" borderId="6" xfId="0" quotePrefix="1" applyFont="1" applyFill="1" applyBorder="1" applyAlignment="1">
      <alignment horizontal="left" vertical="center"/>
    </xf>
    <xf numFmtId="0" fontId="6" fillId="0" borderId="0" xfId="0" applyFont="1" applyFill="1" applyBorder="1" applyAlignment="1">
      <alignment vertical="center"/>
    </xf>
    <xf numFmtId="165" fontId="5" fillId="0" borderId="6" xfId="15" quotePrefix="1" applyNumberFormat="1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/>
    </xf>
    <xf numFmtId="0" fontId="5" fillId="0" borderId="6" xfId="0" applyFont="1" applyFill="1" applyBorder="1" applyAlignment="1">
      <alignment vertical="center"/>
    </xf>
    <xf numFmtId="0" fontId="6" fillId="0" borderId="6" xfId="0" applyFont="1" applyFill="1" applyBorder="1" applyAlignment="1">
      <alignment horizontal="left" vertical="center"/>
    </xf>
    <xf numFmtId="0" fontId="6" fillId="7" borderId="0" xfId="0" applyFont="1" applyFill="1" applyBorder="1" applyAlignment="1">
      <alignment vertical="center"/>
    </xf>
    <xf numFmtId="164" fontId="10" fillId="0" borderId="0" xfId="3" applyNumberFormat="1" applyFont="1" applyAlignment="1">
      <alignment horizontal="center"/>
    </xf>
    <xf numFmtId="164" fontId="9" fillId="0" borderId="0" xfId="3" applyNumberFormat="1" applyFont="1" applyFill="1"/>
    <xf numFmtId="0" fontId="2" fillId="7" borderId="6" xfId="0" quotePrefix="1" applyFont="1" applyFill="1" applyBorder="1" applyAlignment="1">
      <alignment horizontal="left" vertical="center"/>
    </xf>
    <xf numFmtId="0" fontId="3" fillId="0" borderId="0" xfId="0" applyFont="1" applyAlignment="1">
      <alignment horizontal="center"/>
    </xf>
    <xf numFmtId="164" fontId="3" fillId="0" borderId="0" xfId="3" applyNumberFormat="1" applyFont="1"/>
    <xf numFmtId="164" fontId="11" fillId="0" borderId="0" xfId="3" applyNumberFormat="1" applyFont="1"/>
    <xf numFmtId="164" fontId="12" fillId="0" borderId="0" xfId="3" applyNumberFormat="1" applyFont="1" applyAlignment="1">
      <alignment horizontal="center"/>
    </xf>
    <xf numFmtId="164" fontId="2" fillId="0" borderId="0" xfId="3" applyNumberFormat="1" applyFont="1" applyAlignment="1">
      <alignment horizontal="center"/>
    </xf>
    <xf numFmtId="164" fontId="2" fillId="0" borderId="4" xfId="3" applyNumberFormat="1" applyFont="1" applyBorder="1" applyAlignment="1">
      <alignment horizontal="center"/>
    </xf>
    <xf numFmtId="14" fontId="12" fillId="0" borderId="4" xfId="3" applyNumberFormat="1" applyFont="1" applyBorder="1" applyAlignment="1">
      <alignment horizontal="center"/>
    </xf>
    <xf numFmtId="14" fontId="11" fillId="0" borderId="0" xfId="3" applyNumberFormat="1" applyFont="1"/>
    <xf numFmtId="14" fontId="2" fillId="0" borderId="4" xfId="3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6" fillId="0" borderId="0" xfId="0" applyFont="1" applyFill="1" applyBorder="1" applyAlignment="1">
      <alignment horizontal="left" vertical="center"/>
    </xf>
    <xf numFmtId="0" fontId="2" fillId="0" borderId="0" xfId="0" applyFont="1" applyAlignment="1">
      <alignment horizontal="right"/>
    </xf>
    <xf numFmtId="164" fontId="5" fillId="0" borderId="0" xfId="0" applyNumberFormat="1" applyFont="1" applyFill="1" applyBorder="1" applyAlignment="1">
      <alignment vertical="center"/>
    </xf>
    <xf numFmtId="164" fontId="5" fillId="0" borderId="0" xfId="3" applyNumberFormat="1" applyFont="1" applyFill="1" applyBorder="1"/>
    <xf numFmtId="164" fontId="11" fillId="0" borderId="0" xfId="3" applyNumberFormat="1" applyFont="1" applyFill="1"/>
    <xf numFmtId="164" fontId="12" fillId="0" borderId="0" xfId="3" applyNumberFormat="1" applyFont="1" applyFill="1" applyAlignment="1">
      <alignment horizontal="center"/>
    </xf>
    <xf numFmtId="14" fontId="12" fillId="0" borderId="4" xfId="3" applyNumberFormat="1" applyFont="1" applyFill="1" applyBorder="1" applyAlignment="1">
      <alignment horizontal="center"/>
    </xf>
    <xf numFmtId="0" fontId="6" fillId="7" borderId="6" xfId="0" applyFont="1" applyFill="1" applyBorder="1" applyAlignment="1">
      <alignment vertical="center"/>
    </xf>
    <xf numFmtId="0" fontId="14" fillId="0" borderId="0" xfId="0" applyFont="1"/>
    <xf numFmtId="0" fontId="6" fillId="0" borderId="10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14" fontId="6" fillId="0" borderId="13" xfId="0" quotePrefix="1" applyNumberFormat="1" applyFont="1" applyBorder="1" applyAlignment="1">
      <alignment horizontal="center"/>
    </xf>
    <xf numFmtId="14" fontId="6" fillId="0" borderId="14" xfId="0" quotePrefix="1" applyNumberFormat="1" applyFont="1" applyBorder="1" applyAlignment="1">
      <alignment horizontal="center"/>
    </xf>
    <xf numFmtId="0" fontId="3" fillId="0" borderId="15" xfId="0" applyFont="1" applyBorder="1"/>
    <xf numFmtId="0" fontId="6" fillId="0" borderId="15" xfId="0" applyFont="1" applyFill="1" applyBorder="1" applyAlignment="1">
      <alignment vertical="center"/>
    </xf>
    <xf numFmtId="0" fontId="5" fillId="0" borderId="15" xfId="0" quotePrefix="1" applyFont="1" applyFill="1" applyBorder="1" applyAlignment="1">
      <alignment horizontal="left" vertical="center"/>
    </xf>
    <xf numFmtId="0" fontId="2" fillId="0" borderId="15" xfId="0" quotePrefix="1" applyFont="1" applyFill="1" applyBorder="1" applyAlignment="1">
      <alignment horizontal="left" vertical="center"/>
    </xf>
    <xf numFmtId="16" fontId="0" fillId="0" borderId="0" xfId="0" quotePrefix="1" applyNumberFormat="1" applyAlignment="1">
      <alignment horizontal="right"/>
    </xf>
    <xf numFmtId="49" fontId="11" fillId="0" borderId="0" xfId="3" applyNumberFormat="1" applyFont="1"/>
    <xf numFmtId="49" fontId="9" fillId="0" borderId="0" xfId="3" applyNumberFormat="1" applyFont="1"/>
    <xf numFmtId="166" fontId="10" fillId="0" borderId="0" xfId="0" applyNumberFormat="1" applyFont="1" applyAlignment="1">
      <alignment horizontal="right"/>
    </xf>
    <xf numFmtId="0" fontId="12" fillId="7" borderId="15" xfId="0" applyFont="1" applyFill="1" applyBorder="1" applyAlignment="1">
      <alignment horizontal="left" vertical="center"/>
    </xf>
    <xf numFmtId="0" fontId="5" fillId="0" borderId="0" xfId="0" quotePrefix="1" applyFont="1" applyFill="1" applyBorder="1" applyAlignment="1">
      <alignment horizontal="left" vertical="center"/>
    </xf>
    <xf numFmtId="164" fontId="5" fillId="0" borderId="9" xfId="3" applyNumberFormat="1" applyFont="1" applyBorder="1"/>
    <xf numFmtId="164" fontId="6" fillId="0" borderId="9" xfId="3" applyNumberFormat="1" applyFont="1" applyBorder="1"/>
    <xf numFmtId="164" fontId="6" fillId="0" borderId="0" xfId="3" applyNumberFormat="1" applyFont="1" applyFill="1" applyBorder="1"/>
    <xf numFmtId="0" fontId="6" fillId="0" borderId="0" xfId="0" applyFont="1" applyFill="1"/>
    <xf numFmtId="0" fontId="6" fillId="7" borderId="0" xfId="0" applyFont="1" applyFill="1"/>
    <xf numFmtId="164" fontId="13" fillId="0" borderId="0" xfId="3" applyNumberFormat="1" applyFont="1" applyAlignment="1">
      <alignment horizontal="right"/>
    </xf>
    <xf numFmtId="0" fontId="6" fillId="0" borderId="6" xfId="0" applyFont="1" applyBorder="1"/>
    <xf numFmtId="164" fontId="6" fillId="0" borderId="9" xfId="3" applyNumberFormat="1" applyFont="1" applyFill="1" applyBorder="1"/>
    <xf numFmtId="0" fontId="5" fillId="0" borderId="0" xfId="0" applyFont="1" applyFill="1" applyBorder="1"/>
    <xf numFmtId="0" fontId="5" fillId="0" borderId="0" xfId="0" applyFont="1" applyFill="1" applyBorder="1" applyAlignment="1">
      <alignment horizontal="left" vertical="center" indent="2"/>
    </xf>
    <xf numFmtId="0" fontId="6" fillId="0" borderId="6" xfId="0" applyFont="1" applyFill="1" applyBorder="1"/>
    <xf numFmtId="0" fontId="6" fillId="8" borderId="6" xfId="0" applyFont="1" applyFill="1" applyBorder="1"/>
    <xf numFmtId="0" fontId="6" fillId="8" borderId="0" xfId="0" applyFont="1" applyFill="1" applyBorder="1" applyAlignment="1">
      <alignment vertical="center"/>
    </xf>
    <xf numFmtId="0" fontId="6" fillId="8" borderId="0" xfId="0" applyFont="1" applyFill="1"/>
    <xf numFmtId="164" fontId="6" fillId="8" borderId="0" xfId="3" applyNumberFormat="1" applyFont="1" applyFill="1"/>
    <xf numFmtId="164" fontId="6" fillId="8" borderId="9" xfId="3" applyNumberFormat="1" applyFont="1" applyFill="1" applyBorder="1"/>
    <xf numFmtId="164" fontId="6" fillId="8" borderId="0" xfId="3" applyNumberFormat="1" applyFont="1" applyFill="1" applyBorder="1"/>
    <xf numFmtId="0" fontId="6" fillId="0" borderId="6" xfId="0" quotePrefix="1" applyFont="1" applyFill="1" applyBorder="1" applyAlignment="1">
      <alignment horizontal="left" vertical="center"/>
    </xf>
    <xf numFmtId="0" fontId="0" fillId="7" borderId="0" xfId="0" applyFill="1"/>
    <xf numFmtId="164" fontId="6" fillId="7" borderId="0" xfId="3" applyNumberFormat="1" applyFont="1" applyFill="1" applyBorder="1"/>
    <xf numFmtId="164" fontId="6" fillId="7" borderId="5" xfId="3" applyNumberFormat="1" applyFont="1" applyFill="1" applyBorder="1"/>
    <xf numFmtId="0" fontId="3" fillId="7" borderId="0" xfId="0" applyFont="1" applyFill="1"/>
    <xf numFmtId="0" fontId="3" fillId="7" borderId="0" xfId="0" applyFont="1" applyFill="1" applyAlignment="1">
      <alignment horizontal="center"/>
    </xf>
    <xf numFmtId="164" fontId="3" fillId="7" borderId="0" xfId="3" applyNumberFormat="1" applyFont="1" applyFill="1"/>
    <xf numFmtId="164" fontId="12" fillId="7" borderId="0" xfId="3" applyNumberFormat="1" applyFont="1" applyFill="1"/>
    <xf numFmtId="164" fontId="2" fillId="7" borderId="0" xfId="3" applyNumberFormat="1" applyFont="1" applyFill="1"/>
    <xf numFmtId="14" fontId="12" fillId="0" borderId="0" xfId="3" applyNumberFormat="1" applyFont="1" applyFill="1" applyBorder="1" applyAlignment="1">
      <alignment horizontal="center"/>
    </xf>
    <xf numFmtId="0" fontId="11" fillId="0" borderId="0" xfId="0" applyFont="1"/>
    <xf numFmtId="164" fontId="12" fillId="0" borderId="4" xfId="3" applyNumberFormat="1" applyFont="1" applyBorder="1" applyAlignment="1">
      <alignment horizontal="center"/>
    </xf>
    <xf numFmtId="0" fontId="5" fillId="7" borderId="0" xfId="0" applyFont="1" applyFill="1"/>
    <xf numFmtId="164" fontId="5" fillId="7" borderId="0" xfId="3" applyNumberFormat="1" applyFont="1" applyFill="1"/>
    <xf numFmtId="14" fontId="0" fillId="0" borderId="0" xfId="0" applyNumberFormat="1"/>
    <xf numFmtId="0" fontId="2" fillId="0" borderId="16" xfId="0" applyFont="1" applyBorder="1" applyAlignment="1">
      <alignment horizontal="center"/>
    </xf>
    <xf numFmtId="14" fontId="3" fillId="7" borderId="0" xfId="3" applyNumberFormat="1" applyFont="1" applyFill="1"/>
    <xf numFmtId="14" fontId="12" fillId="7" borderId="0" xfId="3" applyNumberFormat="1" applyFont="1" applyFill="1"/>
    <xf numFmtId="14" fontId="12" fillId="0" borderId="0" xfId="3" applyNumberFormat="1" applyFont="1" applyAlignment="1">
      <alignment horizontal="center"/>
    </xf>
    <xf numFmtId="14" fontId="12" fillId="0" borderId="0" xfId="3" applyNumberFormat="1" applyFont="1" applyFill="1" applyAlignment="1">
      <alignment horizontal="center"/>
    </xf>
    <xf numFmtId="14" fontId="5" fillId="0" borderId="0" xfId="0" applyNumberFormat="1" applyFont="1"/>
    <xf numFmtId="14" fontId="0" fillId="0" borderId="0" xfId="0" applyNumberFormat="1" applyBorder="1"/>
    <xf numFmtId="14" fontId="6" fillId="8" borderId="0" xfId="0" applyNumberFormat="1" applyFont="1" applyFill="1"/>
    <xf numFmtId="14" fontId="6" fillId="0" borderId="0" xfId="0" applyNumberFormat="1" applyFont="1"/>
    <xf numFmtId="14" fontId="6" fillId="7" borderId="0" xfId="0" applyNumberFormat="1" applyFont="1" applyFill="1"/>
    <xf numFmtId="14" fontId="6" fillId="0" borderId="0" xfId="0" applyNumberFormat="1" applyFont="1" applyBorder="1"/>
    <xf numFmtId="14" fontId="5" fillId="0" borderId="0" xfId="0" applyNumberFormat="1" applyFont="1" applyBorder="1"/>
    <xf numFmtId="14" fontId="0" fillId="0" borderId="0" xfId="0" applyNumberFormat="1" applyFill="1"/>
    <xf numFmtId="14" fontId="5" fillId="0" borderId="0" xfId="0" applyNumberFormat="1" applyFont="1" applyAlignment="1">
      <alignment horizontal="center"/>
    </xf>
    <xf numFmtId="14" fontId="5" fillId="0" borderId="0" xfId="3" applyNumberFormat="1" applyFont="1"/>
    <xf numFmtId="14" fontId="10" fillId="0" borderId="8" xfId="0" applyNumberFormat="1" applyFont="1" applyBorder="1" applyAlignment="1">
      <alignment horizontal="center"/>
    </xf>
    <xf numFmtId="16" fontId="0" fillId="0" borderId="0" xfId="0" applyNumberFormat="1" applyAlignment="1">
      <alignment horizontal="right"/>
    </xf>
    <xf numFmtId="43" fontId="0" fillId="0" borderId="0" xfId="3" applyFont="1" applyFill="1"/>
    <xf numFmtId="14" fontId="0" fillId="0" borderId="0" xfId="0" applyNumberFormat="1" applyFill="1" applyAlignment="1">
      <alignment horizontal="right"/>
    </xf>
    <xf numFmtId="0" fontId="2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6" fillId="8" borderId="0" xfId="0" applyFont="1" applyFill="1" applyAlignment="1">
      <alignment horizontal="center"/>
    </xf>
    <xf numFmtId="0" fontId="6" fillId="7" borderId="0" xfId="0" applyFont="1" applyFill="1" applyAlignment="1">
      <alignment horizontal="center"/>
    </xf>
    <xf numFmtId="0" fontId="6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6" fillId="7" borderId="6" xfId="0" applyFont="1" applyFill="1" applyBorder="1" applyAlignment="1">
      <alignment horizontal="left" vertical="center"/>
    </xf>
    <xf numFmtId="0" fontId="6" fillId="0" borderId="17" xfId="0" applyFont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164" fontId="6" fillId="9" borderId="9" xfId="3" applyNumberFormat="1" applyFont="1" applyFill="1" applyBorder="1"/>
    <xf numFmtId="0" fontId="6" fillId="9" borderId="0" xfId="0" applyFont="1" applyFill="1" applyBorder="1" applyAlignment="1">
      <alignment vertical="center"/>
    </xf>
    <xf numFmtId="0" fontId="6" fillId="9" borderId="0" xfId="0" applyFont="1" applyFill="1" applyBorder="1"/>
    <xf numFmtId="0" fontId="6" fillId="9" borderId="0" xfId="0" applyFont="1" applyFill="1" applyBorder="1" applyAlignment="1">
      <alignment horizontal="center"/>
    </xf>
    <xf numFmtId="14" fontId="6" fillId="9" borderId="0" xfId="0" applyNumberFormat="1" applyFont="1" applyFill="1" applyBorder="1"/>
    <xf numFmtId="164" fontId="6" fillId="9" borderId="0" xfId="3" applyNumberFormat="1" applyFont="1" applyFill="1" applyBorder="1"/>
    <xf numFmtId="0" fontId="2" fillId="0" borderId="0" xfId="0" applyFont="1" applyAlignment="1"/>
    <xf numFmtId="0" fontId="0" fillId="0" borderId="0" xfId="0" applyAlignment="1"/>
    <xf numFmtId="166" fontId="6" fillId="0" borderId="0" xfId="3" applyNumberFormat="1" applyFont="1" applyAlignment="1"/>
    <xf numFmtId="0" fontId="6" fillId="0" borderId="0" xfId="0" applyFont="1" applyAlignment="1"/>
    <xf numFmtId="0" fontId="12" fillId="0" borderId="0" xfId="0" applyFont="1" applyAlignment="1"/>
    <xf numFmtId="166" fontId="6" fillId="0" borderId="0" xfId="0" applyNumberFormat="1" applyFont="1" applyAlignment="1"/>
    <xf numFmtId="0" fontId="0" fillId="0" borderId="7" xfId="0" applyBorder="1" applyAlignment="1"/>
    <xf numFmtId="0" fontId="0" fillId="0" borderId="20" xfId="0" applyBorder="1" applyAlignment="1"/>
    <xf numFmtId="0" fontId="0" fillId="0" borderId="0" xfId="0" applyBorder="1" applyAlignment="1"/>
    <xf numFmtId="0" fontId="0" fillId="0" borderId="21" xfId="0" applyBorder="1" applyAlignment="1"/>
    <xf numFmtId="0" fontId="0" fillId="0" borderId="22" xfId="0" applyBorder="1" applyAlignment="1"/>
    <xf numFmtId="0" fontId="10" fillId="0" borderId="23" xfId="0" applyFont="1" applyBorder="1" applyAlignment="1"/>
    <xf numFmtId="168" fontId="0" fillId="0" borderId="0" xfId="4" applyNumberFormat="1" applyFont="1" applyAlignment="1"/>
    <xf numFmtId="168" fontId="6" fillId="0" borderId="23" xfId="4" applyNumberFormat="1" applyFont="1" applyBorder="1" applyAlignment="1"/>
    <xf numFmtId="168" fontId="6" fillId="0" borderId="24" xfId="4" applyNumberFormat="1" applyFont="1" applyBorder="1" applyAlignment="1"/>
    <xf numFmtId="168" fontId="6" fillId="0" borderId="25" xfId="4" applyNumberFormat="1" applyFont="1" applyBorder="1" applyAlignment="1"/>
    <xf numFmtId="169" fontId="6" fillId="0" borderId="23" xfId="15" applyNumberFormat="1" applyFont="1" applyBorder="1" applyAlignment="1"/>
    <xf numFmtId="0" fontId="0" fillId="0" borderId="23" xfId="0" applyBorder="1" applyAlignment="1"/>
    <xf numFmtId="168" fontId="0" fillId="0" borderId="23" xfId="4" applyNumberFormat="1" applyFont="1" applyBorder="1" applyAlignment="1"/>
    <xf numFmtId="168" fontId="0" fillId="0" borderId="24" xfId="4" applyNumberFormat="1" applyFont="1" applyBorder="1" applyAlignment="1"/>
    <xf numFmtId="168" fontId="0" fillId="0" borderId="25" xfId="4" applyNumberFormat="1" applyFont="1" applyBorder="1" applyAlignment="1"/>
    <xf numFmtId="169" fontId="0" fillId="0" borderId="23" xfId="15" applyNumberFormat="1" applyFont="1" applyBorder="1" applyAlignment="1"/>
    <xf numFmtId="0" fontId="0" fillId="0" borderId="8" xfId="0" applyBorder="1" applyAlignment="1"/>
    <xf numFmtId="0" fontId="0" fillId="0" borderId="13" xfId="0" applyBorder="1" applyAlignment="1"/>
    <xf numFmtId="0" fontId="0" fillId="0" borderId="14" xfId="0" applyBorder="1" applyAlignment="1"/>
    <xf numFmtId="0" fontId="6" fillId="7" borderId="7" xfId="0" applyFont="1" applyFill="1" applyBorder="1" applyAlignment="1"/>
    <xf numFmtId="0" fontId="6" fillId="0" borderId="0" xfId="0" applyFont="1" applyBorder="1" applyAlignment="1"/>
    <xf numFmtId="168" fontId="6" fillId="7" borderId="23" xfId="4" applyNumberFormat="1" applyFont="1" applyFill="1" applyBorder="1" applyAlignment="1"/>
    <xf numFmtId="168" fontId="6" fillId="0" borderId="0" xfId="4" applyNumberFormat="1" applyFont="1" applyFill="1" applyBorder="1" applyAlignment="1"/>
    <xf numFmtId="168" fontId="6" fillId="7" borderId="24" xfId="4" applyNumberFormat="1" applyFont="1" applyFill="1" applyBorder="1" applyAlignment="1"/>
    <xf numFmtId="168" fontId="6" fillId="7" borderId="25" xfId="4" applyNumberFormat="1" applyFont="1" applyFill="1" applyBorder="1" applyAlignment="1"/>
    <xf numFmtId="169" fontId="6" fillId="7" borderId="7" xfId="15" applyNumberFormat="1" applyFont="1" applyFill="1" applyBorder="1" applyAlignment="1"/>
    <xf numFmtId="0" fontId="6" fillId="7" borderId="8" xfId="0" applyFont="1" applyFill="1" applyBorder="1" applyAlignment="1"/>
    <xf numFmtId="168" fontId="6" fillId="7" borderId="8" xfId="4" applyNumberFormat="1" applyFont="1" applyFill="1" applyBorder="1" applyAlignment="1"/>
    <xf numFmtId="168" fontId="6" fillId="7" borderId="26" xfId="4" applyNumberFormat="1" applyFont="1" applyFill="1" applyBorder="1" applyAlignment="1"/>
    <xf numFmtId="168" fontId="6" fillId="0" borderId="27" xfId="4" applyNumberFormat="1" applyFont="1" applyFill="1" applyBorder="1" applyAlignment="1"/>
    <xf numFmtId="168" fontId="6" fillId="7" borderId="28" xfId="4" applyNumberFormat="1" applyFont="1" applyFill="1" applyBorder="1" applyAlignment="1"/>
    <xf numFmtId="0" fontId="0" fillId="0" borderId="29" xfId="0" applyBorder="1" applyAlignment="1"/>
    <xf numFmtId="168" fontId="6" fillId="7" borderId="30" xfId="4" applyNumberFormat="1" applyFont="1" applyFill="1" applyBorder="1" applyAlignment="1"/>
    <xf numFmtId="169" fontId="6" fillId="7" borderId="8" xfId="15" applyNumberFormat="1" applyFont="1" applyFill="1" applyBorder="1" applyAlignment="1"/>
    <xf numFmtId="0" fontId="6" fillId="0" borderId="0" xfId="0" applyFont="1" applyFill="1" applyBorder="1" applyAlignment="1"/>
    <xf numFmtId="0" fontId="0" fillId="0" borderId="0" xfId="0" applyFill="1" applyBorder="1" applyAlignment="1"/>
    <xf numFmtId="169" fontId="6" fillId="0" borderId="0" xfId="15" applyNumberFormat="1" applyFont="1" applyFill="1" applyBorder="1" applyAlignment="1"/>
    <xf numFmtId="0" fontId="0" fillId="0" borderId="0" xfId="0" applyFill="1" applyAlignment="1"/>
    <xf numFmtId="0" fontId="13" fillId="0" borderId="0" xfId="0" applyFont="1" applyAlignment="1"/>
    <xf numFmtId="0" fontId="6" fillId="0" borderId="17" xfId="0" applyFont="1" applyBorder="1" applyAlignment="1"/>
    <xf numFmtId="168" fontId="6" fillId="7" borderId="3" xfId="4" applyNumberFormat="1" applyFont="1" applyFill="1" applyBorder="1" applyAlignment="1"/>
    <xf numFmtId="168" fontId="6" fillId="7" borderId="31" xfId="4" applyNumberFormat="1" applyFont="1" applyFill="1" applyBorder="1" applyAlignment="1"/>
    <xf numFmtId="168" fontId="6" fillId="7" borderId="32" xfId="4" applyNumberFormat="1" applyFont="1" applyFill="1" applyBorder="1" applyAlignment="1"/>
    <xf numFmtId="0" fontId="6" fillId="7" borderId="3" xfId="0" applyFont="1" applyFill="1" applyBorder="1" applyAlignment="1"/>
    <xf numFmtId="0" fontId="17" fillId="0" borderId="7" xfId="0" applyFont="1" applyBorder="1" applyAlignment="1">
      <alignment horizontal="center"/>
    </xf>
    <xf numFmtId="0" fontId="10" fillId="0" borderId="0" xfId="0" applyFont="1" applyBorder="1" applyAlignment="1"/>
    <xf numFmtId="164" fontId="0" fillId="0" borderId="0" xfId="3" applyNumberFormat="1" applyFont="1" applyAlignment="1"/>
    <xf numFmtId="164" fontId="9" fillId="0" borderId="0" xfId="3" applyNumberFormat="1" applyFont="1"/>
    <xf numFmtId="43" fontId="5" fillId="0" borderId="0" xfId="3" applyNumberFormat="1" applyFont="1"/>
    <xf numFmtId="16" fontId="20" fillId="0" borderId="0" xfId="0" applyNumberFormat="1" applyFont="1" applyAlignment="1">
      <alignment horizontal="right"/>
    </xf>
    <xf numFmtId="0" fontId="20" fillId="0" borderId="0" xfId="0" applyFont="1" applyAlignment="1"/>
    <xf numFmtId="0" fontId="20" fillId="0" borderId="0" xfId="0" applyFont="1"/>
    <xf numFmtId="0" fontId="21" fillId="0" borderId="0" xfId="0" applyFont="1" applyBorder="1"/>
    <xf numFmtId="0" fontId="22" fillId="0" borderId="0" xfId="0" applyFont="1" applyBorder="1"/>
    <xf numFmtId="0" fontId="21" fillId="0" borderId="0" xfId="0" applyFont="1" applyBorder="1" applyAlignment="1">
      <alignment horizontal="right"/>
    </xf>
    <xf numFmtId="5" fontId="0" fillId="0" borderId="0" xfId="0" applyNumberFormat="1" applyFill="1" applyBorder="1"/>
    <xf numFmtId="0" fontId="6" fillId="0" borderId="0" xfId="0" applyFont="1" applyBorder="1" applyAlignment="1">
      <alignment horizontal="right"/>
    </xf>
    <xf numFmtId="0" fontId="21" fillId="0" borderId="33" xfId="0" applyFont="1" applyBorder="1"/>
    <xf numFmtId="0" fontId="22" fillId="0" borderId="33" xfId="0" applyFont="1" applyBorder="1"/>
    <xf numFmtId="0" fontId="23" fillId="0" borderId="0" xfId="0" applyFont="1" applyBorder="1"/>
    <xf numFmtId="0" fontId="22" fillId="0" borderId="0" xfId="0" applyFont="1"/>
    <xf numFmtId="0" fontId="21" fillId="0" borderId="0" xfId="0" applyFont="1" applyBorder="1" applyAlignment="1">
      <alignment horizontal="left"/>
    </xf>
    <xf numFmtId="0" fontId="6" fillId="7" borderId="0" xfId="0" applyFont="1" applyFill="1" applyBorder="1" applyAlignment="1">
      <alignment horizontal="left" vertical="center"/>
    </xf>
    <xf numFmtId="164" fontId="6" fillId="7" borderId="9" xfId="3" applyNumberFormat="1" applyFont="1" applyFill="1" applyBorder="1"/>
    <xf numFmtId="164" fontId="0" fillId="0" borderId="4" xfId="3" applyNumberFormat="1" applyFont="1" applyBorder="1" applyAlignment="1"/>
    <xf numFmtId="0" fontId="0" fillId="0" borderId="4" xfId="0" applyBorder="1" applyAlignment="1"/>
    <xf numFmtId="0" fontId="6" fillId="0" borderId="0" xfId="0" applyFont="1" applyBorder="1" applyAlignment="1">
      <alignment horizontal="left"/>
    </xf>
    <xf numFmtId="0" fontId="0" fillId="0" borderId="4" xfId="0" applyFill="1" applyBorder="1" applyAlignment="1"/>
    <xf numFmtId="164" fontId="0" fillId="0" borderId="0" xfId="3" applyNumberFormat="1" applyFont="1" applyBorder="1" applyAlignment="1"/>
    <xf numFmtId="164" fontId="5" fillId="0" borderId="0" xfId="3" applyNumberFormat="1" applyFont="1" applyAlignment="1">
      <alignment horizontal="center"/>
    </xf>
    <xf numFmtId="0" fontId="5" fillId="0" borderId="4" xfId="0" applyFont="1" applyFill="1" applyBorder="1" applyAlignment="1">
      <alignment vertical="center"/>
    </xf>
    <xf numFmtId="43" fontId="0" fillId="0" borderId="0" xfId="3" applyFont="1"/>
    <xf numFmtId="43" fontId="0" fillId="0" borderId="0" xfId="3" applyNumberFormat="1" applyFont="1"/>
    <xf numFmtId="43" fontId="0" fillId="0" borderId="0" xfId="0" applyNumberFormat="1"/>
    <xf numFmtId="257" fontId="5" fillId="0" borderId="0" xfId="4" applyNumberFormat="1" applyFont="1" applyAlignment="1">
      <alignment horizontal="center"/>
    </xf>
    <xf numFmtId="0" fontId="20" fillId="0" borderId="0" xfId="0" applyFont="1" applyBorder="1" applyAlignment="1"/>
    <xf numFmtId="164" fontId="17" fillId="0" borderId="0" xfId="3" applyNumberFormat="1" applyFont="1" applyBorder="1" applyAlignment="1"/>
    <xf numFmtId="164" fontId="5" fillId="0" borderId="0" xfId="3" applyNumberFormat="1" applyFont="1" applyAlignment="1"/>
    <xf numFmtId="0" fontId="6" fillId="0" borderId="23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6" fillId="7" borderId="23" xfId="0" applyFont="1" applyFill="1" applyBorder="1" applyAlignment="1">
      <alignment horizontal="center"/>
    </xf>
    <xf numFmtId="164" fontId="2" fillId="0" borderId="0" xfId="3" applyNumberFormat="1" applyFont="1" applyFill="1" applyAlignment="1">
      <alignment horizontal="center"/>
    </xf>
    <xf numFmtId="164" fontId="5" fillId="0" borderId="0" xfId="3" applyNumberFormat="1" applyFont="1" applyAlignment="1">
      <alignment horizontal="left"/>
    </xf>
    <xf numFmtId="164" fontId="6" fillId="0" borderId="4" xfId="3" applyNumberFormat="1" applyFont="1" applyBorder="1"/>
    <xf numFmtId="164" fontId="5" fillId="0" borderId="4" xfId="3" applyNumberFormat="1" applyFont="1" applyBorder="1"/>
    <xf numFmtId="0" fontId="6" fillId="10" borderId="0" xfId="0" applyFont="1" applyFill="1" applyBorder="1"/>
    <xf numFmtId="0" fontId="6" fillId="10" borderId="0" xfId="0" applyFont="1" applyFill="1"/>
    <xf numFmtId="0" fontId="6" fillId="10" borderId="0" xfId="0" applyFont="1" applyFill="1" applyAlignment="1">
      <alignment horizontal="center"/>
    </xf>
    <xf numFmtId="14" fontId="6" fillId="10" borderId="0" xfId="0" applyNumberFormat="1" applyFont="1" applyFill="1"/>
    <xf numFmtId="164" fontId="6" fillId="10" borderId="0" xfId="3" applyNumberFormat="1" applyFont="1" applyFill="1"/>
    <xf numFmtId="164" fontId="6" fillId="10" borderId="0" xfId="3" applyNumberFormat="1" applyFont="1" applyFill="1" applyBorder="1"/>
    <xf numFmtId="164" fontId="6" fillId="10" borderId="5" xfId="3" applyNumberFormat="1" applyFont="1" applyFill="1" applyBorder="1"/>
    <xf numFmtId="0" fontId="2" fillId="0" borderId="0" xfId="0" applyFont="1" applyAlignment="1">
      <alignment horizontal="center"/>
    </xf>
    <xf numFmtId="164" fontId="17" fillId="0" borderId="9" xfId="3" applyNumberFormat="1" applyFont="1" applyBorder="1" applyAlignment="1"/>
    <xf numFmtId="0" fontId="0" fillId="0" borderId="9" xfId="0" applyBorder="1" applyAlignment="1"/>
    <xf numFmtId="0" fontId="20" fillId="0" borderId="9" xfId="0" applyFont="1" applyBorder="1" applyAlignment="1"/>
    <xf numFmtId="43" fontId="6" fillId="0" borderId="0" xfId="3" applyNumberFormat="1" applyFont="1" applyBorder="1"/>
    <xf numFmtId="164" fontId="5" fillId="11" borderId="0" xfId="3" applyNumberFormat="1" applyFont="1" applyFill="1" applyBorder="1"/>
    <xf numFmtId="0" fontId="5" fillId="0" borderId="9" xfId="0" applyFont="1" applyBorder="1" applyAlignment="1"/>
    <xf numFmtId="0" fontId="0" fillId="0" borderId="9" xfId="0" applyFill="1" applyBorder="1" applyAlignment="1"/>
    <xf numFmtId="164" fontId="17" fillId="0" borderId="9" xfId="0" applyNumberFormat="1" applyFont="1" applyBorder="1" applyAlignment="1"/>
    <xf numFmtId="0" fontId="2" fillId="7" borderId="0" xfId="0" quotePrefix="1" applyFont="1" applyFill="1" applyBorder="1" applyAlignment="1">
      <alignment horizontal="left" vertical="center"/>
    </xf>
    <xf numFmtId="0" fontId="12" fillId="7" borderId="0" xfId="0" applyFont="1" applyFill="1" applyBorder="1" applyAlignment="1">
      <alignment horizontal="left" vertical="center"/>
    </xf>
    <xf numFmtId="0" fontId="2" fillId="0" borderId="0" xfId="0" quotePrefix="1" applyFont="1" applyFill="1" applyBorder="1" applyAlignment="1">
      <alignment horizontal="left" vertical="center"/>
    </xf>
    <xf numFmtId="0" fontId="3" fillId="0" borderId="0" xfId="0" applyFont="1" applyBorder="1"/>
    <xf numFmtId="165" fontId="5" fillId="0" borderId="0" xfId="15" quotePrefix="1" applyNumberFormat="1" applyFont="1" applyFill="1" applyBorder="1" applyAlignment="1">
      <alignment horizontal="left" vertical="center"/>
    </xf>
    <xf numFmtId="0" fontId="6" fillId="8" borderId="0" xfId="0" applyFont="1" applyFill="1" applyBorder="1"/>
    <xf numFmtId="0" fontId="6" fillId="0" borderId="0" xfId="0" quotePrefix="1" applyFont="1" applyFill="1" applyBorder="1" applyAlignment="1">
      <alignment horizontal="left" vertical="center"/>
    </xf>
    <xf numFmtId="0" fontId="12" fillId="7" borderId="0" xfId="0" applyFont="1" applyFill="1" applyBorder="1"/>
    <xf numFmtId="0" fontId="10" fillId="7" borderId="0" xfId="0" applyFont="1" applyFill="1" applyBorder="1" applyAlignment="1">
      <alignment horizontal="left" vertical="center"/>
    </xf>
    <xf numFmtId="0" fontId="77" fillId="0" borderId="0" xfId="0" applyFont="1" applyBorder="1"/>
    <xf numFmtId="0" fontId="76" fillId="10" borderId="0" xfId="0" applyFont="1" applyFill="1" applyBorder="1" applyAlignment="1">
      <alignment vertical="center"/>
    </xf>
    <xf numFmtId="5" fontId="5" fillId="0" borderId="0" xfId="0" applyNumberFormat="1" applyFont="1" applyFill="1" applyBorder="1"/>
    <xf numFmtId="0" fontId="6" fillId="0" borderId="33" xfId="0" applyFont="1" applyBorder="1"/>
    <xf numFmtId="0" fontId="5" fillId="7" borderId="0" xfId="0" applyFont="1" applyFill="1" applyAlignment="1">
      <alignment horizontal="center"/>
    </xf>
    <xf numFmtId="14" fontId="5" fillId="7" borderId="0" xfId="0" applyNumberFormat="1" applyFont="1" applyFill="1"/>
    <xf numFmtId="0" fontId="6" fillId="0" borderId="19" xfId="0" applyFont="1" applyBorder="1" applyAlignment="1">
      <alignment horizontal="center"/>
    </xf>
    <xf numFmtId="0" fontId="6" fillId="0" borderId="17" xfId="0" applyFont="1" applyBorder="1" applyAlignment="1">
      <alignment horizontal="center"/>
    </xf>
  </cellXfs>
  <cellStyles count="21">
    <cellStyle name="??_?.????" xfId="1"/>
    <cellStyle name="Actual Date" xfId="2"/>
    <cellStyle name="Comma" xfId="3" builtinId="3"/>
    <cellStyle name="Currency" xfId="4" builtinId="4"/>
    <cellStyle name="Date" xfId="5"/>
    <cellStyle name="Fixed" xfId="6"/>
    <cellStyle name="Grey" xfId="7"/>
    <cellStyle name="HEADER" xfId="8"/>
    <cellStyle name="Heading1" xfId="9"/>
    <cellStyle name="Heading2" xfId="10"/>
    <cellStyle name="HIGHLIGHT" xfId="11"/>
    <cellStyle name="Input [yellow]" xfId="12"/>
    <cellStyle name="no dec" xfId="13"/>
    <cellStyle name="Normal" xfId="0" builtinId="0"/>
    <cellStyle name="Normal - Style1" xfId="14"/>
    <cellStyle name="Percent" xfId="15" builtinId="5"/>
    <cellStyle name="Percent [2]" xfId="16"/>
    <cellStyle name="Total" xfId="17" builtinId="25" customBuiltin="1"/>
    <cellStyle name="Unprot" xfId="18"/>
    <cellStyle name="Unprot$" xfId="19"/>
    <cellStyle name="Unprotect" xfId="2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Engysvc/PowerPlants/2000%20Plants/Draw%20Schedule/Draw%20Sched%20-%2006300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6.5% - Swap"/>
      <sheetName val="Calvert City"/>
      <sheetName val="Wilton"/>
      <sheetName val="Gleason"/>
      <sheetName val="Wheatland"/>
      <sheetName val="Wilton Leaseback Only"/>
      <sheetName val="Wheatland (2)"/>
      <sheetName val="Gleason (2)"/>
    </sheetNames>
    <sheetDataSet>
      <sheetData sheetId="0"/>
      <sheetData sheetId="1">
        <row r="38">
          <cell r="I38">
            <v>481371.22496666672</v>
          </cell>
          <cell r="J38">
            <v>488494.44316995825</v>
          </cell>
          <cell r="K38">
            <v>500068.5242301845</v>
          </cell>
        </row>
        <row r="64">
          <cell r="X64">
            <v>811034.87</v>
          </cell>
        </row>
      </sheetData>
      <sheetData sheetId="2">
        <row r="40">
          <cell r="K40">
            <v>463711.37538870639</v>
          </cell>
          <cell r="L40">
            <v>505639.68570277008</v>
          </cell>
          <cell r="N40">
            <v>663422.29387704656</v>
          </cell>
          <cell r="O40">
            <v>873819.32529526937</v>
          </cell>
          <cell r="P40">
            <v>891069.81590450753</v>
          </cell>
          <cell r="Q40">
            <v>1048965.8687712126</v>
          </cell>
          <cell r="R40">
            <v>1175441.8444909456</v>
          </cell>
          <cell r="Y40">
            <v>11022920.431537341</v>
          </cell>
        </row>
        <row r="62">
          <cell r="Y62">
            <v>22604</v>
          </cell>
        </row>
      </sheetData>
      <sheetData sheetId="3">
        <row r="40">
          <cell r="M40">
            <v>505668.93</v>
          </cell>
          <cell r="N40">
            <v>517447.92267638887</v>
          </cell>
          <cell r="O40">
            <v>557933.42322977481</v>
          </cell>
          <cell r="P40">
            <v>574337.94527365838</v>
          </cell>
          <cell r="Q40">
            <v>616751.79694111284</v>
          </cell>
          <cell r="R40">
            <v>657673.00806343276</v>
          </cell>
          <cell r="S40">
            <v>719263.87615433196</v>
          </cell>
          <cell r="V40">
            <v>596910.34129285498</v>
          </cell>
        </row>
      </sheetData>
      <sheetData sheetId="4">
        <row r="39">
          <cell r="I39">
            <v>431577.41862083337</v>
          </cell>
          <cell r="J39">
            <v>437225.48213836289</v>
          </cell>
          <cell r="K39">
            <v>445286.67641661229</v>
          </cell>
          <cell r="L39">
            <v>454783</v>
          </cell>
          <cell r="M39">
            <v>462626.31550692458</v>
          </cell>
          <cell r="N39">
            <v>491955.34096592036</v>
          </cell>
          <cell r="O39">
            <v>516340</v>
          </cell>
          <cell r="P39">
            <v>563836.3251100413</v>
          </cell>
          <cell r="Q39">
            <v>615994.85825994285</v>
          </cell>
          <cell r="R39">
            <v>668433.20015885099</v>
          </cell>
          <cell r="T39">
            <v>720582.02993748907</v>
          </cell>
        </row>
      </sheetData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workbookViewId="0">
      <selection activeCell="N7" sqref="N7"/>
    </sheetView>
  </sheetViews>
  <sheetFormatPr defaultRowHeight="12.75"/>
  <cols>
    <col min="4" max="4" width="3.140625" customWidth="1"/>
    <col min="5" max="5" width="11.85546875" bestFit="1" customWidth="1"/>
    <col min="6" max="6" width="2.5703125" customWidth="1"/>
    <col min="7" max="7" width="11.85546875" bestFit="1" customWidth="1"/>
    <col min="8" max="8" width="2.5703125" customWidth="1"/>
    <col min="9" max="9" width="11.85546875" bestFit="1" customWidth="1"/>
    <col min="10" max="10" width="2.5703125" customWidth="1"/>
    <col min="11" max="11" width="10.85546875" bestFit="1" customWidth="1"/>
  </cols>
  <sheetData>
    <row r="1" spans="1:11" ht="15.75">
      <c r="A1" s="24" t="s">
        <v>117</v>
      </c>
    </row>
    <row r="2" spans="1:11" ht="15.75">
      <c r="A2" s="24" t="s">
        <v>116</v>
      </c>
    </row>
    <row r="4" spans="1:11">
      <c r="A4" s="21" t="s">
        <v>111</v>
      </c>
    </row>
    <row r="6" spans="1:11">
      <c r="A6" t="s">
        <v>108</v>
      </c>
    </row>
    <row r="7" spans="1:11">
      <c r="A7" t="s">
        <v>114</v>
      </c>
    </row>
    <row r="8" spans="1:11">
      <c r="A8" t="s">
        <v>113</v>
      </c>
    </row>
    <row r="11" spans="1:11">
      <c r="A11" s="21" t="s">
        <v>119</v>
      </c>
    </row>
    <row r="12" spans="1:11">
      <c r="A12" s="21"/>
      <c r="E12" s="8" t="s">
        <v>73</v>
      </c>
      <c r="F12" s="49"/>
      <c r="G12" s="8" t="s">
        <v>74</v>
      </c>
      <c r="H12" s="49"/>
      <c r="I12" s="8" t="s">
        <v>72</v>
      </c>
      <c r="K12" s="8" t="s">
        <v>75</v>
      </c>
    </row>
    <row r="13" spans="1:11">
      <c r="A13" s="21"/>
    </row>
    <row r="14" spans="1:11">
      <c r="A14" t="s">
        <v>109</v>
      </c>
      <c r="E14" s="35">
        <v>-310000</v>
      </c>
      <c r="F14" s="35"/>
      <c r="G14" s="35">
        <v>-300000</v>
      </c>
      <c r="H14" s="35"/>
      <c r="I14" s="35">
        <v>-233000</v>
      </c>
      <c r="K14" s="38">
        <f>SUM(E14:I14)</f>
        <v>-843000</v>
      </c>
    </row>
    <row r="15" spans="1:11">
      <c r="A15" t="s">
        <v>110</v>
      </c>
      <c r="E15" s="35">
        <v>-550000</v>
      </c>
      <c r="F15" s="35"/>
      <c r="G15" s="35">
        <v>-550000</v>
      </c>
      <c r="H15" s="35"/>
      <c r="I15" s="35">
        <v>-350000</v>
      </c>
      <c r="K15" s="38">
        <f>SUM(E15:I15)</f>
        <v>-1450000</v>
      </c>
    </row>
    <row r="16" spans="1:11">
      <c r="A16" t="s">
        <v>115</v>
      </c>
      <c r="E16" s="36">
        <v>-200000</v>
      </c>
      <c r="F16" s="35"/>
      <c r="G16" s="36">
        <v>-200000</v>
      </c>
      <c r="H16" s="35"/>
      <c r="I16" s="36">
        <v>-200000</v>
      </c>
      <c r="K16" s="50">
        <f>SUM(E16:I16)</f>
        <v>-600000</v>
      </c>
    </row>
    <row r="17" spans="1:11">
      <c r="E17" s="51"/>
      <c r="F17" s="35"/>
      <c r="G17" s="51"/>
      <c r="H17" s="35"/>
      <c r="I17" s="51"/>
      <c r="K17" s="52"/>
    </row>
    <row r="18" spans="1:11">
      <c r="A18" s="21" t="s">
        <v>112</v>
      </c>
      <c r="E18" s="39">
        <f>SUM(E14:E16)</f>
        <v>-1060000</v>
      </c>
      <c r="F18" s="21"/>
      <c r="G18" s="39">
        <f>SUM(G14:G16)</f>
        <v>-1050000</v>
      </c>
      <c r="H18" s="21"/>
      <c r="I18" s="39">
        <f>SUM(I14:I16)</f>
        <v>-783000</v>
      </c>
      <c r="J18" s="21"/>
      <c r="K18" s="39">
        <f>SUM(K14:K16)</f>
        <v>-2893000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42"/>
  <sheetViews>
    <sheetView topLeftCell="A19" workbookViewId="0">
      <selection activeCell="E41" sqref="E41"/>
    </sheetView>
  </sheetViews>
  <sheetFormatPr defaultRowHeight="12.75"/>
  <cols>
    <col min="4" max="4" width="10.42578125" customWidth="1"/>
    <col min="5" max="5" width="14.85546875" bestFit="1" customWidth="1"/>
    <col min="6" max="6" width="2.85546875" customWidth="1"/>
  </cols>
  <sheetData>
    <row r="1" spans="1:5" ht="18">
      <c r="A1" s="43" t="s">
        <v>73</v>
      </c>
    </row>
    <row r="2" spans="1:5" ht="18">
      <c r="A2" s="43" t="s">
        <v>81</v>
      </c>
    </row>
    <row r="5" spans="1:5">
      <c r="A5" s="21" t="s">
        <v>82</v>
      </c>
    </row>
    <row r="6" spans="1:5">
      <c r="A6" t="s">
        <v>84</v>
      </c>
      <c r="E6" s="25">
        <v>26785396</v>
      </c>
    </row>
    <row r="7" spans="1:5">
      <c r="B7" t="s">
        <v>83</v>
      </c>
      <c r="E7" s="36">
        <f>32000000-E6</f>
        <v>5214604</v>
      </c>
    </row>
    <row r="8" spans="1:5">
      <c r="E8" s="35">
        <f>SUM(E6:E7)</f>
        <v>32000000</v>
      </c>
    </row>
    <row r="10" spans="1:5">
      <c r="A10" s="21" t="s">
        <v>85</v>
      </c>
    </row>
    <row r="11" spans="1:5">
      <c r="B11" t="s">
        <v>97</v>
      </c>
      <c r="E11" s="40">
        <v>1347000</v>
      </c>
    </row>
    <row r="12" spans="1:5">
      <c r="B12" t="s">
        <v>87</v>
      </c>
      <c r="E12" s="40">
        <v>500000</v>
      </c>
    </row>
    <row r="13" spans="1:5">
      <c r="B13" t="s">
        <v>94</v>
      </c>
      <c r="E13" s="41">
        <f>E11*0.1</f>
        <v>134700</v>
      </c>
    </row>
    <row r="14" spans="1:5">
      <c r="E14" s="40">
        <f>SUM(E11:E13)</f>
        <v>1981700</v>
      </c>
    </row>
    <row r="15" spans="1:5">
      <c r="E15" s="33"/>
    </row>
    <row r="16" spans="1:5">
      <c r="A16" s="21" t="s">
        <v>88</v>
      </c>
      <c r="E16" s="33"/>
    </row>
    <row r="17" spans="1:7">
      <c r="B17" t="s">
        <v>89</v>
      </c>
      <c r="E17" s="40">
        <v>27502700</v>
      </c>
    </row>
    <row r="18" spans="1:7">
      <c r="B18" t="s">
        <v>105</v>
      </c>
      <c r="E18" s="40">
        <f>3600000-E19</f>
        <v>2700000</v>
      </c>
    </row>
    <row r="19" spans="1:7">
      <c r="B19" t="s">
        <v>106</v>
      </c>
      <c r="E19" s="40">
        <v>900000</v>
      </c>
    </row>
    <row r="20" spans="1:7">
      <c r="B20" t="s">
        <v>90</v>
      </c>
      <c r="E20" s="44">
        <v>-700000</v>
      </c>
      <c r="G20" t="s">
        <v>100</v>
      </c>
    </row>
    <row r="21" spans="1:7">
      <c r="B21" t="s">
        <v>95</v>
      </c>
      <c r="E21" s="40">
        <v>1307660</v>
      </c>
    </row>
    <row r="22" spans="1:7">
      <c r="B22" t="s">
        <v>90</v>
      </c>
      <c r="E22" s="40">
        <v>-200500</v>
      </c>
      <c r="G22" t="s">
        <v>100</v>
      </c>
    </row>
    <row r="23" spans="1:7">
      <c r="B23" t="s">
        <v>99</v>
      </c>
      <c r="E23" s="40">
        <f>254805*5</f>
        <v>1274025</v>
      </c>
    </row>
    <row r="24" spans="1:7">
      <c r="B24" t="s">
        <v>90</v>
      </c>
      <c r="E24" s="40">
        <v>-100000</v>
      </c>
      <c r="G24" t="s">
        <v>100</v>
      </c>
    </row>
    <row r="25" spans="1:7">
      <c r="B25" t="s">
        <v>98</v>
      </c>
      <c r="E25" s="41">
        <f>E23*0.07</f>
        <v>89181.750000000015</v>
      </c>
    </row>
    <row r="26" spans="1:7">
      <c r="E26" s="42">
        <f>SUM(E17:E25)</f>
        <v>32773066.75</v>
      </c>
    </row>
    <row r="29" spans="1:7">
      <c r="A29" s="21" t="s">
        <v>91</v>
      </c>
    </row>
    <row r="30" spans="1:7">
      <c r="B30" s="37" t="s">
        <v>92</v>
      </c>
      <c r="E30" s="35">
        <f>27500000/4</f>
        <v>6875000</v>
      </c>
    </row>
    <row r="31" spans="1:7">
      <c r="B31" t="s">
        <v>93</v>
      </c>
      <c r="E31" s="35">
        <f>2000000/4</f>
        <v>500000</v>
      </c>
    </row>
    <row r="32" spans="1:7">
      <c r="B32" t="s">
        <v>86</v>
      </c>
      <c r="E32" s="36">
        <v>0</v>
      </c>
    </row>
    <row r="33" spans="1:7">
      <c r="E33" s="20">
        <f>SUM(E30:E32)</f>
        <v>7375000</v>
      </c>
    </row>
    <row r="34" spans="1:7">
      <c r="E34" s="20"/>
    </row>
    <row r="35" spans="1:7">
      <c r="A35" s="21" t="s">
        <v>96</v>
      </c>
      <c r="E35" s="46">
        <v>0</v>
      </c>
      <c r="G35" t="s">
        <v>107</v>
      </c>
    </row>
    <row r="36" spans="1:7" ht="8.25" customHeight="1">
      <c r="E36" s="30"/>
    </row>
    <row r="37" spans="1:7">
      <c r="A37" s="21" t="s">
        <v>102</v>
      </c>
      <c r="E37" s="47">
        <f>E35+E33+E26+E14+E8</f>
        <v>74129766.75</v>
      </c>
    </row>
    <row r="39" spans="1:7">
      <c r="A39" s="21" t="s">
        <v>101</v>
      </c>
      <c r="E39" s="48">
        <v>10870000</v>
      </c>
    </row>
    <row r="40" spans="1:7" ht="8.25" customHeight="1"/>
    <row r="41" spans="1:7" ht="13.5" thickBot="1">
      <c r="A41" s="21" t="s">
        <v>103</v>
      </c>
      <c r="E41" s="45">
        <f>E37+E39</f>
        <v>84999766.75</v>
      </c>
    </row>
    <row r="42" spans="1:7" ht="13.5" thickTop="1"/>
  </sheetData>
  <pageMargins left="0.75" right="0.75" top="1" bottom="1" header="0.5" footer="0.5"/>
  <pageSetup scale="96" orientation="portrait" verticalDpi="300" r:id="rId1"/>
  <headerFooter alignWithMargins="0">
    <oddFooter>&amp;R&amp;F&amp;A
&amp;D&amp;T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G5" sqref="G5"/>
    </sheetView>
  </sheetViews>
  <sheetFormatPr defaultRowHeight="12.75"/>
  <cols>
    <col min="1" max="1" width="11.28515625" style="35" customWidth="1"/>
    <col min="2" max="2" width="5.5703125" style="35" customWidth="1"/>
    <col min="3" max="3" width="11.28515625" style="35" bestFit="1" customWidth="1"/>
    <col min="4" max="4" width="3.28515625" style="35" customWidth="1"/>
    <col min="5" max="5" width="10.28515625" style="35" bestFit="1" customWidth="1"/>
    <col min="6" max="6" width="2.7109375" style="35" customWidth="1"/>
    <col min="7" max="7" width="13.42578125" style="35" bestFit="1" customWidth="1"/>
    <col min="8" max="8" width="2.28515625" style="35" customWidth="1"/>
    <col min="9" max="16384" width="9.140625" style="35"/>
  </cols>
  <sheetData>
    <row r="1" spans="1:7" ht="18">
      <c r="A1" s="34" t="s">
        <v>70</v>
      </c>
    </row>
    <row r="3" spans="1:7">
      <c r="C3" s="7" t="s">
        <v>77</v>
      </c>
      <c r="E3" s="7" t="s">
        <v>76</v>
      </c>
    </row>
    <row r="4" spans="1:7">
      <c r="C4" s="7" t="s">
        <v>78</v>
      </c>
      <c r="E4" s="7" t="s">
        <v>79</v>
      </c>
      <c r="G4" s="7" t="s">
        <v>118</v>
      </c>
    </row>
    <row r="5" spans="1:7">
      <c r="C5" s="7"/>
    </row>
    <row r="6" spans="1:7">
      <c r="A6" s="9" t="s">
        <v>72</v>
      </c>
      <c r="C6" s="35">
        <v>395276</v>
      </c>
      <c r="E6" s="35">
        <v>587051</v>
      </c>
      <c r="G6" s="35">
        <f>E6-C6</f>
        <v>191775</v>
      </c>
    </row>
    <row r="7" spans="1:7">
      <c r="A7" s="9"/>
      <c r="G7" s="35">
        <f t="shared" ref="G7:G14" si="0">E7-C7</f>
        <v>0</v>
      </c>
    </row>
    <row r="8" spans="1:7">
      <c r="A8" s="9" t="s">
        <v>74</v>
      </c>
      <c r="C8" s="35">
        <v>395276</v>
      </c>
      <c r="E8" s="35">
        <v>620100</v>
      </c>
      <c r="G8" s="35">
        <f t="shared" si="0"/>
        <v>224824</v>
      </c>
    </row>
    <row r="9" spans="1:7">
      <c r="A9" s="9"/>
    </row>
    <row r="10" spans="1:7">
      <c r="A10" s="9" t="s">
        <v>73</v>
      </c>
      <c r="C10" s="35">
        <v>395276</v>
      </c>
      <c r="E10" s="35">
        <v>641831</v>
      </c>
      <c r="G10" s="35">
        <f t="shared" si="0"/>
        <v>246555</v>
      </c>
    </row>
    <row r="11" spans="1:7">
      <c r="A11" s="9"/>
    </row>
    <row r="12" spans="1:7">
      <c r="A12" s="9" t="s">
        <v>71</v>
      </c>
      <c r="C12" s="36">
        <v>395276</v>
      </c>
      <c r="E12" s="36">
        <v>225000</v>
      </c>
      <c r="F12" s="35" t="s">
        <v>80</v>
      </c>
      <c r="G12" s="36">
        <f t="shared" si="0"/>
        <v>-170276</v>
      </c>
    </row>
    <row r="14" spans="1:7" s="9" customFormat="1">
      <c r="A14" s="9" t="s">
        <v>75</v>
      </c>
      <c r="C14" s="9">
        <f>SUM(C6:C12)</f>
        <v>1581104</v>
      </c>
      <c r="E14" s="9">
        <f>SUM(E6:E12)</f>
        <v>2073982</v>
      </c>
      <c r="G14" s="9">
        <f t="shared" si="0"/>
        <v>492878</v>
      </c>
    </row>
    <row r="16" spans="1:7">
      <c r="E16" s="35" t="s">
        <v>104</v>
      </c>
    </row>
  </sheetData>
  <pageMargins left="0.75" right="0.75" top="1" bottom="1" header="0.5" footer="0.5"/>
  <pageSetup orientation="portrait" verticalDpi="300" r:id="rId1"/>
  <headerFooter alignWithMargins="0">
    <oddFooter>&amp;R&amp;F&amp;A
&amp;D&amp;T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16"/>
  <sheetViews>
    <sheetView workbookViewId="0">
      <selection activeCell="G32" sqref="G32"/>
    </sheetView>
  </sheetViews>
  <sheetFormatPr defaultRowHeight="12.75"/>
  <cols>
    <col min="1" max="1" width="2" bestFit="1" customWidth="1"/>
    <col min="2" max="3" width="4.7109375" customWidth="1"/>
  </cols>
  <sheetData>
    <row r="1" spans="1:4">
      <c r="B1" s="85" t="s">
        <v>132</v>
      </c>
    </row>
    <row r="3" spans="1:4">
      <c r="A3">
        <v>1</v>
      </c>
      <c r="B3" t="s">
        <v>140</v>
      </c>
    </row>
    <row r="5" spans="1:4">
      <c r="A5">
        <v>2</v>
      </c>
      <c r="B5" t="s">
        <v>133</v>
      </c>
    </row>
    <row r="6" spans="1:4">
      <c r="C6" t="s">
        <v>187</v>
      </c>
    </row>
    <row r="8" spans="1:4">
      <c r="A8">
        <v>3</v>
      </c>
      <c r="B8" t="s">
        <v>134</v>
      </c>
    </row>
    <row r="9" spans="1:4">
      <c r="C9" t="s">
        <v>135</v>
      </c>
    </row>
    <row r="10" spans="1:4">
      <c r="C10" t="s">
        <v>136</v>
      </c>
    </row>
    <row r="11" spans="1:4">
      <c r="C11" t="s">
        <v>137</v>
      </c>
    </row>
    <row r="12" spans="1:4">
      <c r="D12" t="s">
        <v>188</v>
      </c>
    </row>
    <row r="13" spans="1:4">
      <c r="D13" t="s">
        <v>138</v>
      </c>
    </row>
    <row r="15" spans="1:4">
      <c r="A15">
        <v>4</v>
      </c>
      <c r="B15" t="s">
        <v>133</v>
      </c>
    </row>
    <row r="16" spans="1:4">
      <c r="C16" t="s">
        <v>139</v>
      </c>
    </row>
  </sheetData>
  <pageMargins left="0.75" right="0.75" top="1" bottom="1" header="0.5" footer="0.5"/>
  <pageSetup orientation="landscape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V118"/>
  <sheetViews>
    <sheetView tabSelected="1" zoomScale="90" zoomScaleNormal="90" zoomScaleSheetLayoutView="100" workbookViewId="0"/>
  </sheetViews>
  <sheetFormatPr defaultRowHeight="12.75"/>
  <cols>
    <col min="1" max="1" width="28.140625" style="171" customWidth="1"/>
    <col min="2" max="2" width="3.140625" style="171" customWidth="1"/>
    <col min="3" max="3" width="15" style="171" customWidth="1"/>
    <col min="4" max="4" width="2.42578125" style="171" customWidth="1"/>
    <col min="5" max="5" width="17.28515625" style="171" customWidth="1"/>
    <col min="6" max="6" width="2.42578125" style="171" customWidth="1"/>
    <col min="7" max="7" width="17.28515625" style="171" customWidth="1"/>
    <col min="8" max="8" width="2.42578125" style="171" customWidth="1"/>
    <col min="9" max="9" width="21.7109375" style="171" customWidth="1"/>
    <col min="10" max="10" width="2.140625" style="171" customWidth="1"/>
    <col min="11" max="11" width="18.7109375" style="171" bestFit="1" customWidth="1"/>
    <col min="12" max="12" width="2.7109375" style="171" customWidth="1"/>
    <col min="13" max="13" width="13.28515625" style="171" bestFit="1" customWidth="1"/>
    <col min="14" max="14" width="2.7109375" style="171" customWidth="1"/>
    <col min="15" max="15" width="19.140625" style="171" bestFit="1" customWidth="1"/>
    <col min="16" max="18" width="0" hidden="1" customWidth="1"/>
    <col min="47" max="58" width="0" hidden="1" customWidth="1"/>
  </cols>
  <sheetData>
    <row r="1" spans="1:74" ht="15.75">
      <c r="A1" s="170" t="s">
        <v>127</v>
      </c>
    </row>
    <row r="2" spans="1:74" ht="15.75">
      <c r="A2" s="170" t="s">
        <v>170</v>
      </c>
      <c r="J2" s="173" t="s">
        <v>124</v>
      </c>
      <c r="O2" s="172">
        <f ca="1">NOW()</f>
        <v>36822.429216898148</v>
      </c>
    </row>
    <row r="3" spans="1:74" ht="15.75">
      <c r="A3" s="174" t="s">
        <v>189</v>
      </c>
      <c r="G3" s="172"/>
      <c r="J3" s="173"/>
      <c r="O3" s="172"/>
      <c r="BV3" t="str">
        <f>Summary!A5</f>
        <v>Revision # 66</v>
      </c>
    </row>
    <row r="4" spans="1:74" ht="15.75">
      <c r="A4" s="170" t="s">
        <v>185</v>
      </c>
      <c r="J4" s="173" t="s">
        <v>125</v>
      </c>
      <c r="O4" s="98" t="s">
        <v>457</v>
      </c>
    </row>
    <row r="5" spans="1:74" ht="15.75">
      <c r="A5" s="174" t="s">
        <v>456</v>
      </c>
      <c r="G5" s="172"/>
      <c r="I5" s="26"/>
      <c r="O5" s="175"/>
    </row>
    <row r="6" spans="1:74" ht="16.5" thickBot="1">
      <c r="A6" s="170"/>
      <c r="I6" s="26"/>
      <c r="O6" s="175"/>
    </row>
    <row r="7" spans="1:74" ht="16.5" thickBot="1">
      <c r="A7" s="170"/>
      <c r="G7" s="161" t="s">
        <v>122</v>
      </c>
      <c r="H7" s="162"/>
      <c r="I7" s="162"/>
      <c r="J7" s="162"/>
      <c r="K7" s="163"/>
      <c r="L7" s="170"/>
      <c r="M7" s="170"/>
    </row>
    <row r="8" spans="1:74">
      <c r="A8" s="220" t="s">
        <v>268</v>
      </c>
      <c r="C8" s="176"/>
      <c r="E8" s="27" t="s">
        <v>43</v>
      </c>
      <c r="G8" s="86" t="s">
        <v>44</v>
      </c>
      <c r="H8" s="177"/>
      <c r="I8" s="87" t="s">
        <v>51</v>
      </c>
      <c r="J8" s="177"/>
      <c r="K8" s="88" t="s">
        <v>128</v>
      </c>
      <c r="M8" s="27" t="s">
        <v>141</v>
      </c>
      <c r="O8" s="27" t="s">
        <v>45</v>
      </c>
    </row>
    <row r="9" spans="1:74">
      <c r="A9" s="29" t="s">
        <v>280</v>
      </c>
      <c r="C9" s="29" t="s">
        <v>47</v>
      </c>
      <c r="E9" s="148" t="s">
        <v>282</v>
      </c>
      <c r="G9" s="89" t="str">
        <f>+O4</f>
        <v xml:space="preserve"> As of 10/20/00</v>
      </c>
      <c r="H9" s="178"/>
      <c r="I9" s="53" t="str">
        <f>+O4</f>
        <v xml:space="preserve"> As of 10/20/00</v>
      </c>
      <c r="J9" s="178"/>
      <c r="K9" s="90" t="str">
        <f>+O4</f>
        <v xml:space="preserve"> As of 10/20/00</v>
      </c>
      <c r="M9" s="28" t="s">
        <v>143</v>
      </c>
      <c r="O9" s="28" t="s">
        <v>46</v>
      </c>
    </row>
    <row r="10" spans="1:74">
      <c r="A10" s="176"/>
      <c r="C10" s="27"/>
      <c r="E10" s="176"/>
      <c r="G10" s="179"/>
      <c r="H10" s="178"/>
      <c r="I10" s="176"/>
      <c r="J10" s="178"/>
      <c r="K10" s="180"/>
      <c r="M10" s="176"/>
      <c r="O10" s="176"/>
    </row>
    <row r="11" spans="1:74">
      <c r="A11" s="181" t="s">
        <v>254</v>
      </c>
      <c r="C11" s="254">
        <v>608</v>
      </c>
      <c r="E11" s="183">
        <f>Wilton!R179/1000</f>
        <v>239675.46775000001</v>
      </c>
      <c r="F11" s="182"/>
      <c r="G11" s="184">
        <f>Wilton!BN179/1000</f>
        <v>268134.02602869202</v>
      </c>
      <c r="H11" s="178"/>
      <c r="I11" s="183">
        <f>K11-G11</f>
        <v>2725.4595761786331</v>
      </c>
      <c r="J11" s="178"/>
      <c r="K11" s="185">
        <f>Wilton!BT179/1000</f>
        <v>270859.48560487066</v>
      </c>
      <c r="M11" s="183">
        <f>+E11-K11</f>
        <v>-31184.017854870646</v>
      </c>
      <c r="O11" s="186">
        <f>+G11/K11</f>
        <v>0.98993773627645987</v>
      </c>
    </row>
    <row r="12" spans="1:74">
      <c r="A12" s="187"/>
      <c r="C12" s="254"/>
      <c r="E12" s="188"/>
      <c r="F12" s="182"/>
      <c r="G12" s="189"/>
      <c r="H12" s="178"/>
      <c r="I12" s="188"/>
      <c r="J12" s="178"/>
      <c r="K12" s="190"/>
      <c r="M12" s="188"/>
      <c r="O12" s="191"/>
    </row>
    <row r="13" spans="1:74">
      <c r="A13" s="181" t="str">
        <f>Gleason!A3</f>
        <v>Gleason, TN</v>
      </c>
      <c r="C13" s="254">
        <v>509</v>
      </c>
      <c r="E13" s="183">
        <f>Gleason!R219/1000</f>
        <v>170575.01</v>
      </c>
      <c r="F13" s="182"/>
      <c r="G13" s="184">
        <f>Gleason!BP219/1000</f>
        <v>170486.5823536675</v>
      </c>
      <c r="H13" s="178"/>
      <c r="I13" s="183">
        <f>K13-G13</f>
        <v>6949.6838299999654</v>
      </c>
      <c r="J13" s="178"/>
      <c r="K13" s="185">
        <f>Gleason!BV219/1000</f>
        <v>177436.26618366747</v>
      </c>
      <c r="M13" s="183">
        <f>+E13-K13</f>
        <v>-6861.2561836674577</v>
      </c>
      <c r="O13" s="186">
        <f>+G13/K13</f>
        <v>0.96083278813584694</v>
      </c>
    </row>
    <row r="14" spans="1:74">
      <c r="A14" s="187"/>
      <c r="C14" s="254"/>
      <c r="E14" s="188"/>
      <c r="F14" s="182"/>
      <c r="G14" s="189"/>
      <c r="H14" s="178"/>
      <c r="I14" s="188"/>
      <c r="J14" s="178"/>
      <c r="K14" s="190"/>
      <c r="M14" s="188"/>
      <c r="O14" s="191"/>
    </row>
    <row r="15" spans="1:74">
      <c r="A15" s="181" t="s">
        <v>194</v>
      </c>
      <c r="C15" s="254">
        <v>470</v>
      </c>
      <c r="E15" s="183">
        <f>Wheatland!R176/1000</f>
        <v>158451.2481</v>
      </c>
      <c r="F15" s="182"/>
      <c r="G15" s="184">
        <f>Wheatland!BN176/1000</f>
        <v>154427.6958402952</v>
      </c>
      <c r="H15" s="178"/>
      <c r="I15" s="183">
        <f>K15-G15</f>
        <v>4994.5789733332931</v>
      </c>
      <c r="J15" s="178"/>
      <c r="K15" s="185">
        <f>Wheatland!BT176/1000</f>
        <v>159422.27481362849</v>
      </c>
      <c r="M15" s="183">
        <f>+E15-K15</f>
        <v>-971.02671362849651</v>
      </c>
      <c r="O15" s="186">
        <f>+G15/K15</f>
        <v>0.96867075834181782</v>
      </c>
      <c r="AC15" t="s">
        <v>154</v>
      </c>
    </row>
    <row r="16" spans="1:74" ht="8.25" customHeight="1">
      <c r="A16" s="187"/>
      <c r="B16" s="178"/>
      <c r="C16" s="255"/>
      <c r="D16" s="178"/>
      <c r="E16" s="192"/>
      <c r="F16" s="178"/>
      <c r="G16" s="193"/>
      <c r="H16" s="178"/>
      <c r="I16" s="192"/>
      <c r="J16" s="178"/>
      <c r="K16" s="194"/>
      <c r="L16" s="178"/>
      <c r="M16" s="192"/>
      <c r="N16" s="178"/>
      <c r="O16" s="187"/>
    </row>
    <row r="17" spans="1:29">
      <c r="A17" s="195" t="s">
        <v>265</v>
      </c>
      <c r="B17" s="196"/>
      <c r="C17" s="256">
        <f>SUM(C11:C15)</f>
        <v>1587</v>
      </c>
      <c r="D17" s="178"/>
      <c r="E17" s="197">
        <f>SUM(E11:E15)</f>
        <v>568701.72585000005</v>
      </c>
      <c r="F17" s="198"/>
      <c r="G17" s="199">
        <f>SUM(G11:G15)</f>
        <v>593048.30422265467</v>
      </c>
      <c r="H17" s="198"/>
      <c r="I17" s="197">
        <f>SUM(I11:I15)</f>
        <v>14669.722379511892</v>
      </c>
      <c r="J17" s="178"/>
      <c r="K17" s="200">
        <f>SUM(K11:K15)</f>
        <v>607718.02660216659</v>
      </c>
      <c r="L17" s="178"/>
      <c r="M17" s="197">
        <f>SUM(M10:M15)</f>
        <v>-39016.3007521666</v>
      </c>
      <c r="N17" s="178"/>
      <c r="O17" s="201">
        <f>+G17/K17</f>
        <v>0.97586097213286183</v>
      </c>
    </row>
    <row r="18" spans="1:29" ht="13.5" thickBot="1">
      <c r="A18" s="202" t="s">
        <v>50</v>
      </c>
      <c r="B18" s="196"/>
      <c r="C18" s="202"/>
      <c r="D18" s="178"/>
      <c r="E18" s="203">
        <f>E17/C17</f>
        <v>358.35017381852555</v>
      </c>
      <c r="F18" s="198"/>
      <c r="G18" s="204"/>
      <c r="H18" s="205"/>
      <c r="I18" s="206"/>
      <c r="J18" s="207"/>
      <c r="K18" s="208">
        <f>+K17/C17</f>
        <v>382.93511443110685</v>
      </c>
      <c r="L18" s="178"/>
      <c r="M18" s="203"/>
      <c r="N18" s="178"/>
      <c r="O18" s="209"/>
    </row>
    <row r="19" spans="1:29" s="33" customFormat="1">
      <c r="A19" s="210"/>
      <c r="B19" s="210"/>
      <c r="C19" s="210"/>
      <c r="D19" s="211"/>
      <c r="E19" s="198"/>
      <c r="F19" s="198"/>
      <c r="G19" s="198"/>
      <c r="H19" s="198"/>
      <c r="I19" s="198"/>
      <c r="J19" s="211"/>
      <c r="K19" s="198"/>
      <c r="L19" s="211"/>
      <c r="M19" s="198"/>
      <c r="N19" s="211"/>
      <c r="O19" s="212"/>
    </row>
    <row r="20" spans="1:29" ht="16.5" hidden="1" thickBot="1">
      <c r="A20" s="170"/>
      <c r="C20"/>
      <c r="G20" s="161" t="s">
        <v>122</v>
      </c>
      <c r="H20" s="162"/>
      <c r="I20" s="162"/>
      <c r="J20" s="162"/>
      <c r="K20" s="163"/>
      <c r="L20" s="170"/>
      <c r="M20" s="170"/>
      <c r="O20"/>
    </row>
    <row r="21" spans="1:29" hidden="1">
      <c r="A21" s="220" t="s">
        <v>267</v>
      </c>
      <c r="C21"/>
      <c r="E21" s="27" t="s">
        <v>43</v>
      </c>
      <c r="G21" s="86" t="s">
        <v>44</v>
      </c>
      <c r="H21" s="177"/>
      <c r="I21" s="87" t="s">
        <v>51</v>
      </c>
      <c r="J21" s="177"/>
      <c r="K21" s="88" t="s">
        <v>128</v>
      </c>
      <c r="M21" s="27" t="s">
        <v>141</v>
      </c>
      <c r="O21"/>
    </row>
    <row r="22" spans="1:29" hidden="1">
      <c r="A22" s="29" t="s">
        <v>48</v>
      </c>
      <c r="C22"/>
      <c r="E22" s="148" t="str">
        <f>E9</f>
        <v>as of 7/22/99</v>
      </c>
      <c r="G22" s="89" t="str">
        <f>G9</f>
        <v xml:space="preserve"> As of 10/20/00</v>
      </c>
      <c r="H22" s="178"/>
      <c r="I22" s="53" t="str">
        <f>I9</f>
        <v xml:space="preserve"> As of 10/20/00</v>
      </c>
      <c r="J22" s="178"/>
      <c r="K22" s="90" t="str">
        <f>K9</f>
        <v xml:space="preserve"> As of 10/20/00</v>
      </c>
      <c r="M22" s="28" t="s">
        <v>143</v>
      </c>
      <c r="O22"/>
    </row>
    <row r="23" spans="1:29" hidden="1">
      <c r="A23" s="176"/>
      <c r="C23"/>
      <c r="E23" s="176"/>
      <c r="G23" s="179"/>
      <c r="H23" s="178"/>
      <c r="I23" s="176"/>
      <c r="J23" s="178"/>
      <c r="K23" s="180"/>
      <c r="M23" s="176"/>
      <c r="O23"/>
    </row>
    <row r="24" spans="1:29" hidden="1">
      <c r="A24" s="181" t="s">
        <v>254</v>
      </c>
      <c r="C24"/>
      <c r="E24" s="183">
        <v>1500</v>
      </c>
      <c r="F24" s="182"/>
      <c r="G24" s="184">
        <v>0</v>
      </c>
      <c r="H24" s="178"/>
      <c r="I24" s="183">
        <f>K24-G24</f>
        <v>1500</v>
      </c>
      <c r="J24" s="178"/>
      <c r="K24" s="185">
        <v>1500</v>
      </c>
      <c r="M24" s="183">
        <f>+E24-K24</f>
        <v>0</v>
      </c>
      <c r="O24"/>
    </row>
    <row r="25" spans="1:29" hidden="1">
      <c r="A25" s="187"/>
      <c r="C25"/>
      <c r="E25" s="188"/>
      <c r="F25" s="182"/>
      <c r="G25" s="189"/>
      <c r="H25" s="178"/>
      <c r="I25" s="188"/>
      <c r="J25" s="178"/>
      <c r="K25" s="190"/>
      <c r="M25" s="188"/>
      <c r="O25"/>
    </row>
    <row r="26" spans="1:29" hidden="1">
      <c r="A26" s="181" t="str">
        <f>+'Calvert City'!$A$3</f>
        <v>Calvert City, KY</v>
      </c>
      <c r="C26"/>
      <c r="E26" s="183">
        <v>1500</v>
      </c>
      <c r="F26" s="182"/>
      <c r="G26" s="184">
        <v>0</v>
      </c>
      <c r="H26" s="178"/>
      <c r="I26" s="183">
        <f>K26-G26</f>
        <v>1500</v>
      </c>
      <c r="J26" s="178"/>
      <c r="K26" s="185">
        <v>1500</v>
      </c>
      <c r="M26" s="183">
        <f>+E26-K26</f>
        <v>0</v>
      </c>
      <c r="O26"/>
    </row>
    <row r="27" spans="1:29" hidden="1">
      <c r="A27" s="187"/>
      <c r="C27"/>
      <c r="E27" s="188"/>
      <c r="F27" s="182"/>
      <c r="G27" s="189"/>
      <c r="H27" s="178"/>
      <c r="I27" s="188"/>
      <c r="J27" s="178"/>
      <c r="K27" s="190"/>
      <c r="M27" s="188"/>
      <c r="O27"/>
    </row>
    <row r="28" spans="1:29" hidden="1">
      <c r="A28" s="181" t="s">
        <v>194</v>
      </c>
      <c r="C28"/>
      <c r="E28" s="183">
        <v>1500</v>
      </c>
      <c r="F28" s="182"/>
      <c r="G28" s="184">
        <v>0</v>
      </c>
      <c r="H28" s="178"/>
      <c r="I28" s="183">
        <f>K28-G28</f>
        <v>1500</v>
      </c>
      <c r="J28" s="178"/>
      <c r="K28" s="185">
        <v>1500</v>
      </c>
      <c r="M28" s="183">
        <f>+E28-K28</f>
        <v>0</v>
      </c>
      <c r="O28"/>
      <c r="AC28" t="s">
        <v>154</v>
      </c>
    </row>
    <row r="29" spans="1:29" ht="8.25" hidden="1" customHeight="1">
      <c r="A29" s="187"/>
      <c r="B29" s="178"/>
      <c r="C29"/>
      <c r="D29" s="178"/>
      <c r="E29" s="192"/>
      <c r="F29" s="178"/>
      <c r="G29" s="193"/>
      <c r="H29" s="178"/>
      <c r="I29" s="192"/>
      <c r="J29" s="178"/>
      <c r="K29" s="194"/>
      <c r="L29" s="178"/>
      <c r="M29" s="192"/>
      <c r="N29" s="178"/>
      <c r="O29"/>
    </row>
    <row r="30" spans="1:29" hidden="1">
      <c r="A30" s="219" t="s">
        <v>265</v>
      </c>
      <c r="B30" s="196"/>
      <c r="C30"/>
      <c r="D30" s="178"/>
      <c r="E30" s="216">
        <f>SUM(E24:E28)</f>
        <v>4500</v>
      </c>
      <c r="F30" s="198"/>
      <c r="G30" s="218">
        <f>SUM(G24:G28)</f>
        <v>0</v>
      </c>
      <c r="H30" s="198"/>
      <c r="I30" s="216">
        <f>SUM(I24:I28)</f>
        <v>4500</v>
      </c>
      <c r="J30" s="178"/>
      <c r="K30" s="217">
        <f>SUM(K24:K28)</f>
        <v>4500</v>
      </c>
      <c r="L30" s="178"/>
      <c r="M30" s="216">
        <f>SUM(M23:M28)</f>
        <v>0</v>
      </c>
      <c r="N30" s="178"/>
      <c r="O30"/>
    </row>
    <row r="31" spans="1:29" s="33" customFormat="1" hidden="1">
      <c r="A31" s="210"/>
      <c r="B31" s="210"/>
      <c r="C31"/>
      <c r="D31" s="211"/>
      <c r="E31" s="198"/>
      <c r="F31" s="198"/>
      <c r="G31" s="198"/>
      <c r="H31" s="198"/>
      <c r="I31" s="198"/>
      <c r="J31" s="211"/>
      <c r="K31" s="198"/>
      <c r="L31" s="211"/>
      <c r="M31" s="198"/>
      <c r="N31" s="211"/>
      <c r="O31"/>
    </row>
    <row r="32" spans="1:29" s="33" customFormat="1" ht="13.5" thickBot="1">
      <c r="A32" s="210"/>
      <c r="B32" s="210"/>
      <c r="C32" s="210"/>
      <c r="D32" s="211"/>
      <c r="E32" s="198"/>
      <c r="F32" s="198"/>
      <c r="G32" s="198"/>
      <c r="H32" s="198"/>
      <c r="I32" s="198"/>
      <c r="J32" s="211"/>
      <c r="K32" s="198"/>
      <c r="L32" s="211"/>
      <c r="M32" s="198"/>
      <c r="N32" s="211"/>
      <c r="O32" s="212"/>
    </row>
    <row r="33" spans="1:29" ht="16.5" thickBot="1">
      <c r="A33" s="133" t="s">
        <v>200</v>
      </c>
      <c r="G33" s="161" t="s">
        <v>122</v>
      </c>
      <c r="H33" s="162"/>
      <c r="I33" s="162"/>
      <c r="J33" s="162"/>
      <c r="K33" s="163"/>
      <c r="L33" s="170"/>
      <c r="M33" s="170"/>
    </row>
    <row r="34" spans="1:29">
      <c r="A34" s="187"/>
      <c r="E34" s="27" t="s">
        <v>43</v>
      </c>
      <c r="G34" s="86" t="s">
        <v>44</v>
      </c>
      <c r="H34" s="177"/>
      <c r="I34" s="87" t="s">
        <v>51</v>
      </c>
      <c r="J34" s="177"/>
      <c r="K34" s="88" t="s">
        <v>128</v>
      </c>
    </row>
    <row r="35" spans="1:29">
      <c r="A35" s="29" t="s">
        <v>48</v>
      </c>
      <c r="E35" s="148">
        <v>36433</v>
      </c>
      <c r="G35" s="89" t="str">
        <f>O4</f>
        <v xml:space="preserve"> As of 10/20/00</v>
      </c>
      <c r="H35" s="178"/>
      <c r="I35" s="53" t="str">
        <f>O4</f>
        <v xml:space="preserve"> As of 10/20/00</v>
      </c>
      <c r="J35" s="178"/>
      <c r="K35" s="90" t="str">
        <f>O4</f>
        <v xml:space="preserve"> As of 10/20/00</v>
      </c>
    </row>
    <row r="36" spans="1:29">
      <c r="A36" s="176"/>
      <c r="E36" s="176"/>
      <c r="G36" s="179"/>
      <c r="H36" s="178"/>
      <c r="I36" s="176"/>
      <c r="J36" s="178"/>
      <c r="K36" s="180"/>
    </row>
    <row r="37" spans="1:29">
      <c r="A37" s="181" t="s">
        <v>196</v>
      </c>
      <c r="E37" s="183"/>
      <c r="F37" s="182"/>
      <c r="G37" s="184">
        <f>Wilton!BN256/1000</f>
        <v>314.52427</v>
      </c>
      <c r="H37" s="178"/>
      <c r="I37" s="183"/>
      <c r="J37" s="178"/>
      <c r="K37" s="185">
        <f>+I37+G37</f>
        <v>314.52427</v>
      </c>
    </row>
    <row r="38" spans="1:29">
      <c r="A38" s="187"/>
      <c r="E38" s="188"/>
      <c r="F38" s="182"/>
      <c r="G38" s="189"/>
      <c r="H38" s="178"/>
      <c r="I38" s="188"/>
      <c r="J38" s="178"/>
      <c r="K38" s="190"/>
    </row>
    <row r="39" spans="1:29">
      <c r="A39" s="181" t="s">
        <v>289</v>
      </c>
      <c r="E39" s="183">
        <v>1513</v>
      </c>
      <c r="F39" s="182"/>
      <c r="G39" s="184">
        <f>'Calvert City'!BN205/1000</f>
        <v>1407.0854433333327</v>
      </c>
      <c r="H39" s="178"/>
      <c r="I39" s="183">
        <f>E39-G39</f>
        <v>105.91455666666729</v>
      </c>
      <c r="J39" s="178"/>
      <c r="K39" s="185">
        <f>+I39+G39</f>
        <v>1513</v>
      </c>
    </row>
    <row r="40" spans="1:29">
      <c r="A40" s="187"/>
      <c r="E40" s="188"/>
      <c r="F40" s="182"/>
      <c r="G40" s="189"/>
      <c r="H40" s="178"/>
      <c r="I40" s="188"/>
      <c r="J40" s="178"/>
      <c r="K40" s="190"/>
    </row>
    <row r="41" spans="1:29">
      <c r="A41" s="181" t="s">
        <v>199</v>
      </c>
      <c r="E41" s="183"/>
      <c r="F41" s="182"/>
      <c r="G41" s="184">
        <v>15</v>
      </c>
      <c r="H41" s="178"/>
      <c r="I41" s="183"/>
      <c r="J41" s="178"/>
      <c r="K41" s="185">
        <f>+I41+G41</f>
        <v>15</v>
      </c>
      <c r="AC41" t="s">
        <v>154</v>
      </c>
    </row>
    <row r="42" spans="1:29" ht="8.25" customHeight="1">
      <c r="A42" s="187"/>
      <c r="B42" s="178"/>
      <c r="D42" s="178"/>
      <c r="E42" s="192"/>
      <c r="F42" s="178"/>
      <c r="G42" s="193"/>
      <c r="H42" s="178"/>
      <c r="I42" s="192"/>
      <c r="J42" s="178"/>
      <c r="K42" s="194"/>
      <c r="L42" s="178"/>
    </row>
    <row r="43" spans="1:29" ht="13.5" thickBot="1">
      <c r="A43" s="202" t="s">
        <v>49</v>
      </c>
      <c r="B43" s="196"/>
      <c r="D43" s="178"/>
      <c r="E43" s="203">
        <f>SUM(E37:E41)</f>
        <v>1513</v>
      </c>
      <c r="F43" s="198"/>
      <c r="G43" s="204">
        <f>SUM(G37:G41)</f>
        <v>1736.6097133333328</v>
      </c>
      <c r="H43" s="205"/>
      <c r="I43" s="206">
        <f>SUM(I37:I41)</f>
        <v>105.91455666666729</v>
      </c>
      <c r="J43" s="207"/>
      <c r="K43" s="208">
        <f>SUM(K37:K41)</f>
        <v>1842.5242699999999</v>
      </c>
      <c r="L43" s="178"/>
    </row>
    <row r="44" spans="1:29" ht="13.5" thickBot="1"/>
    <row r="45" spans="1:29" ht="13.5" thickBot="1">
      <c r="A45" s="292" t="s">
        <v>205</v>
      </c>
      <c r="B45" s="293"/>
      <c r="C45" s="293"/>
      <c r="D45" s="293"/>
      <c r="E45" s="293"/>
      <c r="F45" s="293"/>
      <c r="G45" s="293"/>
      <c r="H45" s="293"/>
      <c r="I45" s="293"/>
      <c r="J45" s="293"/>
      <c r="K45" s="293"/>
      <c r="L45" s="215"/>
      <c r="M45" s="215"/>
      <c r="N45" s="215"/>
      <c r="O45" s="215"/>
      <c r="P45" s="159"/>
      <c r="Q45" s="160"/>
    </row>
    <row r="46" spans="1:29">
      <c r="A46" s="95"/>
      <c r="B46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/>
      <c r="N46"/>
      <c r="O46"/>
    </row>
    <row r="47" spans="1:29">
      <c r="A47" s="149" t="s">
        <v>204</v>
      </c>
      <c r="B47"/>
      <c r="C47" s="151" t="s">
        <v>206</v>
      </c>
      <c r="D47" s="33"/>
      <c r="E47" s="150" t="s">
        <v>445</v>
      </c>
      <c r="F47" s="33"/>
      <c r="G47" s="33"/>
      <c r="H47" s="33"/>
      <c r="I47" s="33"/>
      <c r="J47" s="33"/>
      <c r="K47" s="33"/>
      <c r="L47" s="33"/>
      <c r="M47"/>
      <c r="N47"/>
      <c r="O47"/>
    </row>
    <row r="48" spans="1:29">
      <c r="A48" s="95"/>
      <c r="B48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/>
      <c r="N48"/>
      <c r="O48"/>
    </row>
    <row r="49" spans="1:15">
      <c r="A49" s="149" t="s">
        <v>204</v>
      </c>
      <c r="B49"/>
      <c r="C49" s="145">
        <v>36363</v>
      </c>
      <c r="D49" s="33"/>
      <c r="E49" s="33" t="s">
        <v>281</v>
      </c>
      <c r="F49" s="33"/>
      <c r="G49"/>
      <c r="H49" s="33"/>
      <c r="I49" s="33"/>
      <c r="J49" s="33"/>
      <c r="K49" s="33"/>
      <c r="L49"/>
      <c r="M49"/>
      <c r="N49"/>
      <c r="O49"/>
    </row>
    <row r="50" spans="1:15" ht="13.5" thickBot="1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</row>
    <row r="51" spans="1:15" s="227" customFormat="1" hidden="1">
      <c r="O51" s="226"/>
    </row>
    <row r="52" spans="1:15" hidden="1"/>
    <row r="53" spans="1:15" ht="13.5" hidden="1" thickBot="1"/>
    <row r="54" spans="1:15" ht="13.5" thickBot="1">
      <c r="A54" s="292" t="s">
        <v>142</v>
      </c>
      <c r="B54" s="293"/>
      <c r="C54" s="293"/>
      <c r="D54" s="293"/>
      <c r="E54" s="293"/>
      <c r="F54" s="293"/>
      <c r="G54" s="293"/>
      <c r="H54" s="293"/>
      <c r="I54" s="293"/>
      <c r="J54" s="293"/>
      <c r="K54" s="293"/>
      <c r="L54" s="159"/>
      <c r="M54" s="159"/>
      <c r="N54" s="159"/>
      <c r="O54" s="160"/>
    </row>
    <row r="56" spans="1:15">
      <c r="J56" s="213"/>
    </row>
    <row r="57" spans="1:15">
      <c r="A57" s="221" t="s">
        <v>254</v>
      </c>
      <c r="C57" s="222">
        <f>Wilton!BV162/1000</f>
        <v>-207.05902000000003</v>
      </c>
      <c r="E57" s="213" t="s">
        <v>275</v>
      </c>
      <c r="F57" s="213"/>
      <c r="G57" s="213"/>
      <c r="H57" s="213"/>
      <c r="I57" s="213"/>
      <c r="J57" s="213"/>
    </row>
    <row r="58" spans="1:15">
      <c r="A58" s="178"/>
      <c r="C58" s="222">
        <f>Wilton!BV89/1000</f>
        <v>-24287.358</v>
      </c>
      <c r="E58" s="171" t="s">
        <v>326</v>
      </c>
    </row>
    <row r="59" spans="1:15">
      <c r="A59" s="178"/>
      <c r="C59" s="222">
        <f>Wilton!BV12/1000</f>
        <v>-1832.0004399999975</v>
      </c>
      <c r="E59" s="171" t="s">
        <v>318</v>
      </c>
    </row>
    <row r="60" spans="1:15">
      <c r="A60" s="178"/>
      <c r="C60" s="222">
        <f>Wilton!BV15/1000</f>
        <v>-464.69799999999998</v>
      </c>
      <c r="E60" s="171" t="s">
        <v>321</v>
      </c>
    </row>
    <row r="61" spans="1:15">
      <c r="A61" s="178"/>
      <c r="C61" s="222">
        <f>Wilton!BV144/1000</f>
        <v>-7400</v>
      </c>
      <c r="E61" s="171" t="s">
        <v>319</v>
      </c>
    </row>
    <row r="62" spans="1:15">
      <c r="A62" s="178"/>
      <c r="C62" s="222">
        <f>(Wilton!BV132+Wilton!BV99+Wilton!BV108)/1000</f>
        <v>-206.83461333333341</v>
      </c>
      <c r="E62" s="171" t="s">
        <v>335</v>
      </c>
    </row>
    <row r="63" spans="1:15">
      <c r="A63" s="178"/>
      <c r="C63" s="222">
        <f>Wilton!BV142/1000</f>
        <v>-200</v>
      </c>
      <c r="E63" s="171" t="s">
        <v>375</v>
      </c>
    </row>
    <row r="64" spans="1:15">
      <c r="A64" s="178"/>
      <c r="C64" s="222">
        <f>Wilton!BV172/1000</f>
        <v>1785.2035684626587</v>
      </c>
      <c r="E64" s="171" t="s">
        <v>374</v>
      </c>
    </row>
    <row r="65" spans="1:12">
      <c r="A65" s="178"/>
      <c r="C65" s="222">
        <f>Wilton!BV154/1000</f>
        <v>90.305000000000007</v>
      </c>
      <c r="E65" s="171" t="s">
        <v>419</v>
      </c>
    </row>
    <row r="66" spans="1:12">
      <c r="A66" s="178"/>
      <c r="C66" s="222">
        <f>(Wilton!BV157+Wilton!BV158+Wilton!BV159+Wilton!BV160)/1000</f>
        <v>-918.49799999999993</v>
      </c>
      <c r="E66" s="171" t="s">
        <v>376</v>
      </c>
    </row>
    <row r="67" spans="1:12">
      <c r="A67" s="178"/>
      <c r="C67" s="222">
        <f>-Wilton!BT161/1000</f>
        <v>-191.01289000000003</v>
      </c>
      <c r="E67" s="171" t="s">
        <v>332</v>
      </c>
    </row>
    <row r="68" spans="1:12">
      <c r="A68" s="178"/>
      <c r="C68" s="222">
        <f>Wilton!BV140/1000</f>
        <v>-517.16789000000006</v>
      </c>
      <c r="E68" s="171" t="s">
        <v>434</v>
      </c>
    </row>
    <row r="69" spans="1:12">
      <c r="A69" s="178"/>
      <c r="C69" s="222">
        <f>Wilton!BV148/1000</f>
        <v>-353.46850000000001</v>
      </c>
      <c r="E69" s="171" t="s">
        <v>410</v>
      </c>
    </row>
    <row r="70" spans="1:12">
      <c r="A70" s="178"/>
      <c r="C70" s="222">
        <f>Wilton!BV170/1000</f>
        <v>-368.28674000000001</v>
      </c>
      <c r="E70" s="171" t="s">
        <v>340</v>
      </c>
    </row>
    <row r="71" spans="1:12">
      <c r="A71" s="178"/>
      <c r="C71" s="244">
        <v>4405</v>
      </c>
      <c r="E71" s="178" t="s">
        <v>320</v>
      </c>
      <c r="F71" s="178"/>
      <c r="G71" s="178"/>
      <c r="H71" s="178"/>
      <c r="I71" s="178"/>
    </row>
    <row r="72" spans="1:12">
      <c r="A72" s="178"/>
      <c r="C72" s="244">
        <f>Wilton!BV152/1000</f>
        <v>-121.30825</v>
      </c>
      <c r="E72" s="178" t="s">
        <v>329</v>
      </c>
      <c r="F72" s="178"/>
      <c r="G72" s="178"/>
      <c r="H72" s="178"/>
      <c r="I72" s="178"/>
    </row>
    <row r="73" spans="1:12">
      <c r="A73" s="178"/>
      <c r="C73" s="240">
        <f>Wilton!BV121/1000</f>
        <v>-396.66321000000005</v>
      </c>
      <c r="D73" s="241"/>
      <c r="E73" s="241" t="s">
        <v>334</v>
      </c>
      <c r="F73" s="241"/>
      <c r="G73" s="241"/>
      <c r="H73" s="241"/>
      <c r="I73" s="241"/>
      <c r="J73" s="241"/>
      <c r="K73" s="241"/>
    </row>
    <row r="74" spans="1:12">
      <c r="A74" s="178"/>
      <c r="C74" s="269">
        <f>SUM(C57:C73)</f>
        <v>-31183.84698487067</v>
      </c>
      <c r="D74" s="270"/>
      <c r="E74" s="271" t="s">
        <v>328</v>
      </c>
      <c r="F74" s="270"/>
      <c r="G74" s="270"/>
      <c r="H74" s="270"/>
      <c r="I74" s="270"/>
      <c r="J74" s="270"/>
      <c r="K74" s="270"/>
      <c r="L74" s="178"/>
    </row>
    <row r="75" spans="1:12">
      <c r="A75" s="178"/>
      <c r="C75" s="252"/>
      <c r="D75" s="178"/>
      <c r="E75" s="251"/>
      <c r="F75" s="178"/>
      <c r="G75" s="178"/>
      <c r="H75" s="178"/>
      <c r="I75" s="178"/>
      <c r="J75" s="178"/>
      <c r="K75" s="178"/>
      <c r="L75" s="178"/>
    </row>
    <row r="76" spans="1:12">
      <c r="A76" s="178"/>
      <c r="C76" s="253"/>
    </row>
    <row r="77" spans="1:12">
      <c r="A77" s="178"/>
      <c r="C77" s="222"/>
    </row>
    <row r="78" spans="1:12">
      <c r="A78" s="221" t="s">
        <v>290</v>
      </c>
      <c r="C78" s="222">
        <f>Gleason!BX202/1000</f>
        <v>-32.203279999999999</v>
      </c>
      <c r="E78" s="213" t="s">
        <v>275</v>
      </c>
      <c r="F78" s="213"/>
      <c r="G78" s="213"/>
      <c r="H78" s="213"/>
      <c r="I78" s="213"/>
    </row>
    <row r="79" spans="1:12">
      <c r="A79" s="221"/>
      <c r="C79" s="244">
        <f>Gleason!BX97/1000</f>
        <v>-5243.6</v>
      </c>
      <c r="D79" s="178"/>
      <c r="E79" s="171" t="s">
        <v>326</v>
      </c>
      <c r="F79" s="211"/>
      <c r="G79" s="211"/>
      <c r="H79" s="211"/>
      <c r="I79" s="211"/>
      <c r="J79" s="178"/>
      <c r="K79" s="178"/>
    </row>
    <row r="80" spans="1:12">
      <c r="A80" s="221"/>
      <c r="C80" s="244">
        <f>Gleason!BX16/1000</f>
        <v>-3392.7400499999972</v>
      </c>
      <c r="E80" s="171" t="s">
        <v>318</v>
      </c>
      <c r="F80" s="211"/>
      <c r="G80" s="211"/>
      <c r="H80" s="211"/>
      <c r="I80" s="211"/>
      <c r="J80" s="178"/>
      <c r="K80" s="178"/>
    </row>
    <row r="81" spans="1:15">
      <c r="A81" s="221"/>
      <c r="C81" s="244">
        <f>Gleason!BX35/1000</f>
        <v>-579.65</v>
      </c>
      <c r="E81" s="171" t="s">
        <v>361</v>
      </c>
      <c r="F81" s="211"/>
      <c r="G81" s="211"/>
      <c r="H81" s="211"/>
      <c r="I81" s="211"/>
      <c r="J81" s="178"/>
      <c r="K81" s="178"/>
    </row>
    <row r="82" spans="1:15">
      <c r="A82" s="221"/>
      <c r="C82" s="244">
        <f>Gleason!BX182/1000</f>
        <v>-965.97982999999999</v>
      </c>
      <c r="E82" s="171" t="s">
        <v>336</v>
      </c>
      <c r="F82" s="211"/>
      <c r="G82" s="211"/>
      <c r="H82" s="211"/>
      <c r="I82" s="211"/>
      <c r="J82" s="178"/>
      <c r="K82" s="178"/>
    </row>
    <row r="83" spans="1:15">
      <c r="A83" s="221"/>
      <c r="C83" s="244">
        <f>Gleason!BX201/1000</f>
        <v>-191.01290000000003</v>
      </c>
      <c r="E83" s="171" t="s">
        <v>332</v>
      </c>
      <c r="F83" s="211"/>
      <c r="G83" s="211"/>
      <c r="H83" s="211"/>
      <c r="I83" s="211"/>
      <c r="J83" s="178"/>
      <c r="K83" s="178"/>
    </row>
    <row r="84" spans="1:15">
      <c r="A84" s="221"/>
      <c r="C84" s="244">
        <f>Gleason!BX211/1000</f>
        <v>681.58784633251469</v>
      </c>
      <c r="E84" s="171" t="s">
        <v>374</v>
      </c>
      <c r="F84" s="211"/>
      <c r="G84" s="211"/>
      <c r="H84" s="211"/>
      <c r="I84" s="211"/>
      <c r="J84" s="178"/>
      <c r="K84" s="178"/>
    </row>
    <row r="85" spans="1:15">
      <c r="A85" s="221"/>
      <c r="C85" s="244">
        <f>Gleason!BX209/1000</f>
        <v>-252.20846000000003</v>
      </c>
      <c r="E85" s="171" t="s">
        <v>341</v>
      </c>
      <c r="F85" s="211"/>
      <c r="G85" s="211"/>
      <c r="H85" s="211"/>
      <c r="I85" s="211"/>
      <c r="J85" s="178"/>
      <c r="K85" s="178"/>
    </row>
    <row r="86" spans="1:15">
      <c r="A86" s="221"/>
      <c r="C86" s="244">
        <f>Gleason!BX149/1000</f>
        <v>-168.14</v>
      </c>
      <c r="E86" s="171" t="s">
        <v>362</v>
      </c>
      <c r="F86" s="211"/>
      <c r="G86" s="211"/>
      <c r="H86" s="211"/>
      <c r="I86" s="211"/>
      <c r="J86" s="178"/>
      <c r="K86" s="178"/>
    </row>
    <row r="87" spans="1:15">
      <c r="A87" s="221"/>
      <c r="C87" s="244">
        <f>Gleason!BX159/1000</f>
        <v>-705.48347000000001</v>
      </c>
      <c r="E87" s="171" t="s">
        <v>363</v>
      </c>
      <c r="F87" s="211"/>
      <c r="G87" s="211"/>
      <c r="H87" s="211"/>
      <c r="I87" s="211"/>
      <c r="J87" s="178"/>
      <c r="K87" s="178"/>
    </row>
    <row r="88" spans="1:15">
      <c r="A88" s="221"/>
      <c r="C88" s="244">
        <f>Gleason!BX190/1000</f>
        <v>-597.87991999999997</v>
      </c>
      <c r="E88" s="171" t="s">
        <v>412</v>
      </c>
      <c r="F88" s="211"/>
      <c r="G88" s="211"/>
      <c r="H88" s="211"/>
      <c r="I88" s="211"/>
      <c r="J88" s="178"/>
      <c r="K88" s="178"/>
    </row>
    <row r="89" spans="1:15">
      <c r="A89" s="221"/>
      <c r="C89" s="244">
        <f>Gleason!BX136/1000</f>
        <v>-112.3207</v>
      </c>
      <c r="E89" s="171" t="s">
        <v>411</v>
      </c>
      <c r="F89" s="211"/>
      <c r="G89" s="211"/>
      <c r="H89" s="211"/>
      <c r="I89" s="211"/>
      <c r="J89" s="178"/>
      <c r="K89" s="178"/>
    </row>
    <row r="90" spans="1:15">
      <c r="A90" s="221"/>
      <c r="C90" s="244">
        <f>Gleason!BX194/1000</f>
        <v>87.884649999999993</v>
      </c>
      <c r="E90" s="171" t="s">
        <v>419</v>
      </c>
      <c r="F90" s="211"/>
      <c r="G90" s="211"/>
      <c r="H90" s="211"/>
      <c r="I90" s="211"/>
      <c r="J90" s="178"/>
      <c r="K90" s="178"/>
    </row>
    <row r="91" spans="1:15">
      <c r="A91" s="221"/>
      <c r="C91" s="244">
        <f>Gleason!BX200/1000</f>
        <v>-616.63298999999995</v>
      </c>
      <c r="E91" s="171" t="s">
        <v>376</v>
      </c>
      <c r="F91" s="211"/>
      <c r="G91" s="211"/>
      <c r="H91" s="211"/>
      <c r="I91" s="211"/>
      <c r="J91" s="178"/>
      <c r="K91" s="178"/>
    </row>
    <row r="92" spans="1:15">
      <c r="A92" s="221"/>
      <c r="C92" s="244">
        <f>Gleason!BX215/1000</f>
        <v>5423.4979999999996</v>
      </c>
      <c r="D92" s="178"/>
      <c r="E92" s="178" t="s">
        <v>320</v>
      </c>
      <c r="F92" s="211"/>
      <c r="G92" s="211"/>
      <c r="H92" s="211"/>
      <c r="I92" s="211"/>
      <c r="J92" s="178"/>
      <c r="K92" s="178"/>
    </row>
    <row r="93" spans="1:15">
      <c r="A93" s="221"/>
      <c r="C93" s="244">
        <f>Gleason!BX134/1000</f>
        <v>-175.55516000000003</v>
      </c>
      <c r="D93" s="178"/>
      <c r="E93" s="171" t="s">
        <v>444</v>
      </c>
      <c r="F93" s="211"/>
      <c r="G93" s="211"/>
      <c r="H93" s="211"/>
      <c r="I93" s="211"/>
      <c r="J93" s="178"/>
      <c r="K93" s="178"/>
    </row>
    <row r="94" spans="1:15" s="30" customFormat="1" ht="12" customHeight="1">
      <c r="A94" s="221"/>
      <c r="B94" s="178"/>
      <c r="C94" s="240">
        <v>-21</v>
      </c>
      <c r="D94" s="241"/>
      <c r="E94" s="246" t="s">
        <v>121</v>
      </c>
      <c r="F94" s="243"/>
      <c r="G94" s="243"/>
      <c r="H94" s="243"/>
      <c r="I94" s="243"/>
      <c r="J94" s="241"/>
      <c r="K94" s="241"/>
      <c r="L94" s="178"/>
      <c r="M94" s="178"/>
      <c r="N94" s="178"/>
      <c r="O94" s="178"/>
    </row>
    <row r="95" spans="1:15">
      <c r="A95" s="221"/>
      <c r="C95" s="269">
        <f>SUM(C78:C94)</f>
        <v>-6861.4362636674796</v>
      </c>
      <c r="D95" s="270"/>
      <c r="E95" s="274" t="s">
        <v>325</v>
      </c>
      <c r="F95" s="275"/>
      <c r="G95" s="275"/>
      <c r="H95" s="275"/>
      <c r="I95" s="275"/>
      <c r="J95" s="270"/>
      <c r="K95" s="270"/>
    </row>
    <row r="96" spans="1:15">
      <c r="A96" s="178"/>
      <c r="C96" s="222"/>
      <c r="E96" s="213"/>
      <c r="F96" s="213"/>
      <c r="G96" s="213"/>
      <c r="H96" s="213"/>
      <c r="I96" s="213"/>
    </row>
    <row r="97" spans="1:14">
      <c r="A97" s="178"/>
      <c r="C97" s="222"/>
      <c r="E97" s="213"/>
      <c r="F97" s="213"/>
      <c r="G97" s="213"/>
      <c r="H97" s="213"/>
      <c r="I97" s="213"/>
    </row>
    <row r="98" spans="1:14">
      <c r="A98" s="221" t="s">
        <v>194</v>
      </c>
      <c r="C98" s="222">
        <f>Wheatland!BV159/1000</f>
        <v>-168.35607999999999</v>
      </c>
      <c r="E98" s="213" t="s">
        <v>275</v>
      </c>
    </row>
    <row r="99" spans="1:14">
      <c r="C99" s="222">
        <f>Wheatland!BV91/1000</f>
        <v>-5550.8</v>
      </c>
      <c r="E99" s="171" t="s">
        <v>327</v>
      </c>
    </row>
    <row r="100" spans="1:14">
      <c r="A100" s="225"/>
      <c r="B100" s="226"/>
      <c r="C100" s="222">
        <f>Wheatland!BV12/1000</f>
        <v>-966.48900000000003</v>
      </c>
      <c r="D100" s="226"/>
      <c r="E100" s="171" t="s">
        <v>318</v>
      </c>
      <c r="F100" s="226"/>
      <c r="G100" s="226"/>
      <c r="H100" s="226"/>
      <c r="I100" s="226"/>
      <c r="J100" s="226"/>
      <c r="K100" s="226"/>
      <c r="L100" s="226"/>
      <c r="M100" s="226"/>
      <c r="N100" s="226"/>
    </row>
    <row r="101" spans="1:14">
      <c r="C101" s="222">
        <f>Wheatland!BV32/1000</f>
        <v>-428.48060000000055</v>
      </c>
      <c r="E101" s="171" t="s">
        <v>321</v>
      </c>
    </row>
    <row r="102" spans="1:14">
      <c r="C102" s="222">
        <f>Wheatland!BV130/1000</f>
        <v>-1396.01557</v>
      </c>
      <c r="E102" s="171" t="s">
        <v>324</v>
      </c>
    </row>
    <row r="103" spans="1:14">
      <c r="C103" s="222">
        <f>Wheatland!BV135/1000</f>
        <v>-22.616279999999911</v>
      </c>
      <c r="E103" s="171" t="s">
        <v>433</v>
      </c>
    </row>
    <row r="104" spans="1:14">
      <c r="C104" s="222">
        <f>Wheatland!BV157/1000</f>
        <v>-339.32417999999996</v>
      </c>
      <c r="E104" s="171" t="s">
        <v>376</v>
      </c>
    </row>
    <row r="105" spans="1:14">
      <c r="C105" s="222">
        <f>Wheatland!BV158/1000</f>
        <v>-195.04080999999999</v>
      </c>
      <c r="E105" s="171" t="s">
        <v>342</v>
      </c>
    </row>
    <row r="106" spans="1:14">
      <c r="C106" s="222">
        <f>Wheatland!BV151/1000</f>
        <v>84.56859</v>
      </c>
      <c r="E106" s="171" t="s">
        <v>419</v>
      </c>
    </row>
    <row r="107" spans="1:14">
      <c r="C107" s="222">
        <f>Wheatland!BV167/1000</f>
        <v>-301.67212999999998</v>
      </c>
      <c r="E107" s="171" t="s">
        <v>341</v>
      </c>
    </row>
    <row r="108" spans="1:14">
      <c r="C108" s="222">
        <f>Wheatland!BV139/1000</f>
        <v>4175.4002099999998</v>
      </c>
      <c r="E108" s="171" t="s">
        <v>446</v>
      </c>
    </row>
    <row r="109" spans="1:14">
      <c r="C109" s="222">
        <f>Wheatland!BV169/1000</f>
        <v>1031.760929704817</v>
      </c>
      <c r="E109" s="171" t="s">
        <v>367</v>
      </c>
    </row>
    <row r="110" spans="1:14">
      <c r="C110" s="222">
        <f>Wheatland!BV115/1000</f>
        <v>-211.37313</v>
      </c>
      <c r="E110" s="178" t="s">
        <v>436</v>
      </c>
    </row>
    <row r="111" spans="1:14">
      <c r="A111" s="225"/>
      <c r="B111" s="226"/>
      <c r="C111" s="244">
        <v>3317</v>
      </c>
      <c r="D111" s="251"/>
      <c r="E111" s="178" t="s">
        <v>320</v>
      </c>
      <c r="F111" s="251"/>
      <c r="G111" s="251"/>
      <c r="H111" s="251"/>
      <c r="I111" s="251"/>
      <c r="J111" s="251"/>
      <c r="K111" s="251"/>
      <c r="L111" s="226"/>
      <c r="M111" s="226"/>
    </row>
    <row r="112" spans="1:14" ht="14.25" customHeight="1">
      <c r="C112" s="276">
        <f>SUM(C98:C111)</f>
        <v>-971.43805029518444</v>
      </c>
      <c r="D112" s="270"/>
      <c r="E112" s="271" t="s">
        <v>328</v>
      </c>
      <c r="F112" s="270"/>
      <c r="G112" s="270"/>
      <c r="H112" s="270"/>
      <c r="I112" s="270"/>
      <c r="J112" s="270"/>
      <c r="K112" s="270"/>
    </row>
    <row r="114" spans="1:15">
      <c r="C114"/>
      <c r="D114"/>
      <c r="E114"/>
      <c r="F114"/>
      <c r="G114"/>
      <c r="H114"/>
      <c r="I114"/>
      <c r="J114"/>
      <c r="K114"/>
    </row>
    <row r="115" spans="1:1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</row>
    <row r="116" spans="1:1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</row>
    <row r="117" spans="1:15">
      <c r="B117" s="26"/>
      <c r="C117" s="173"/>
    </row>
    <row r="118" spans="1:15">
      <c r="A118" s="214" t="str">
        <f ca="1">CELL("FILENAME")</f>
        <v>O:\Fin_Ops\Engysvc\PowerPlants\2000 Plants\Weekly Report\[2000 Weekly Report - 102300.xls]Summary</v>
      </c>
      <c r="B118" s="173"/>
      <c r="C118" s="173"/>
    </row>
  </sheetData>
  <mergeCells count="2">
    <mergeCell ref="A54:K54"/>
    <mergeCell ref="A45:K45"/>
  </mergeCells>
  <printOptions horizontalCentered="1"/>
  <pageMargins left="0.25" right="0.25" top="0.5" bottom="0.2" header="0.5" footer="0.2"/>
  <pageSetup scale="42" orientation="landscape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T304"/>
  <sheetViews>
    <sheetView zoomScale="80" zoomScaleNormal="66" workbookViewId="0">
      <pane xSplit="19" ySplit="8" topLeftCell="BI9" activePane="bottomRight" state="frozen"/>
      <selection activeCell="K13" sqref="K13:K16"/>
      <selection pane="topRight" activeCell="K13" sqref="K13:K16"/>
      <selection pane="bottomLeft" activeCell="K13" sqref="K13:K16"/>
      <selection pane="bottomRight" activeCell="BL1" sqref="BL1:BL65536"/>
    </sheetView>
  </sheetViews>
  <sheetFormatPr defaultRowHeight="12.75"/>
  <cols>
    <col min="1" max="1" width="4.7109375" style="11" customWidth="1"/>
    <col min="2" max="2" width="55.140625" style="4" customWidth="1"/>
    <col min="3" max="3" width="9.28515625" style="4" hidden="1" customWidth="1"/>
    <col min="4" max="4" width="0.85546875" style="4" hidden="1" customWidth="1"/>
    <col min="5" max="5" width="16.85546875" style="5" hidden="1" customWidth="1"/>
    <col min="6" max="6" width="0.85546875" style="4" hidden="1" customWidth="1"/>
    <col min="7" max="7" width="17.140625" style="5" hidden="1" customWidth="1"/>
    <col min="8" max="8" width="0.85546875" style="4" hidden="1" customWidth="1"/>
    <col min="9" max="10" width="11.140625" style="5" hidden="1" customWidth="1"/>
    <col min="11" max="11" width="0.85546875" style="4" hidden="1" customWidth="1"/>
    <col min="12" max="12" width="12" style="147" hidden="1" customWidth="1"/>
    <col min="13" max="13" width="0.85546875" style="4" hidden="1" customWidth="1"/>
    <col min="14" max="14" width="19.42578125" style="6" hidden="1" customWidth="1"/>
    <col min="15" max="15" width="0.85546875" style="4" hidden="1" customWidth="1"/>
    <col min="16" max="16" width="16.28515625" style="6" hidden="1" customWidth="1"/>
    <col min="17" max="17" width="0.85546875" style="4" customWidth="1"/>
    <col min="18" max="18" width="21.28515625" style="6" customWidth="1"/>
    <col min="19" max="19" width="2.140625" style="4" customWidth="1"/>
    <col min="20" max="20" width="19.140625" style="65" hidden="1" customWidth="1"/>
    <col min="21" max="21" width="0.85546875" style="97" hidden="1" customWidth="1"/>
    <col min="22" max="22" width="17.85546875" style="65" hidden="1" customWidth="1"/>
    <col min="23" max="23" width="0.85546875" style="6" hidden="1" customWidth="1"/>
    <col min="24" max="24" width="17.85546875" style="65" hidden="1" customWidth="1"/>
    <col min="25" max="25" width="0.85546875" style="6" hidden="1" customWidth="1"/>
    <col min="26" max="26" width="17.85546875" style="65" hidden="1" customWidth="1"/>
    <col min="27" max="27" width="0.85546875" style="6" hidden="1" customWidth="1"/>
    <col min="28" max="28" width="18" style="65" hidden="1" customWidth="1"/>
    <col min="29" max="29" width="0.85546875" style="6" hidden="1" customWidth="1"/>
    <col min="30" max="30" width="18.28515625" style="65" hidden="1" customWidth="1"/>
    <col min="31" max="31" width="0.85546875" style="6" hidden="1" customWidth="1"/>
    <col min="32" max="32" width="17.85546875" style="6" hidden="1" customWidth="1"/>
    <col min="33" max="33" width="0.7109375" style="6" hidden="1" customWidth="1"/>
    <col min="34" max="34" width="19.140625" style="6" hidden="1" customWidth="1"/>
    <col min="35" max="35" width="1.42578125" style="6" hidden="1" customWidth="1"/>
    <col min="36" max="36" width="19.42578125" style="6" hidden="1" customWidth="1"/>
    <col min="37" max="37" width="1" style="4" hidden="1" customWidth="1"/>
    <col min="38" max="38" width="19.42578125" style="6" hidden="1" customWidth="1"/>
    <col min="39" max="39" width="0.85546875" style="4" hidden="1" customWidth="1"/>
    <col min="40" max="40" width="17.85546875" style="6" hidden="1" customWidth="1"/>
    <col min="41" max="41" width="0.85546875" style="6" hidden="1" customWidth="1"/>
    <col min="42" max="42" width="17.85546875" style="6" hidden="1" customWidth="1"/>
    <col min="43" max="43" width="0.5703125" style="6" hidden="1" customWidth="1"/>
    <col min="44" max="44" width="17.28515625" style="6" hidden="1" customWidth="1"/>
    <col min="45" max="45" width="2" style="6" hidden="1" customWidth="1"/>
    <col min="46" max="46" width="18.5703125" style="6" hidden="1" customWidth="1"/>
    <col min="47" max="47" width="6.42578125" style="6" hidden="1" customWidth="1"/>
    <col min="48" max="48" width="17.85546875" style="6" hidden="1" customWidth="1"/>
    <col min="49" max="49" width="0.85546875" style="6" hidden="1" customWidth="1"/>
    <col min="50" max="50" width="17.85546875" style="6" hidden="1" customWidth="1"/>
    <col min="51" max="51" width="0.85546875" style="6" hidden="1" customWidth="1"/>
    <col min="52" max="52" width="17.85546875" style="6" hidden="1" customWidth="1"/>
    <col min="53" max="53" width="0.85546875" style="6" hidden="1" customWidth="1"/>
    <col min="54" max="54" width="17.85546875" style="6" hidden="1" customWidth="1"/>
    <col min="55" max="55" width="0.85546875" style="6" hidden="1" customWidth="1"/>
    <col min="56" max="56" width="17.85546875" style="6" hidden="1" customWidth="1"/>
    <col min="57" max="57" width="0.85546875" style="4" hidden="1" customWidth="1"/>
    <col min="58" max="58" width="17.85546875" style="6" hidden="1" customWidth="1"/>
    <col min="59" max="59" width="0.85546875" style="4" hidden="1" customWidth="1"/>
    <col min="60" max="60" width="17.85546875" style="6" hidden="1" customWidth="1"/>
    <col min="61" max="61" width="0.85546875" style="4" customWidth="1"/>
    <col min="62" max="62" width="17.28515625" style="65" hidden="1" customWidth="1"/>
    <col min="63" max="63" width="0.85546875" style="4" customWidth="1"/>
    <col min="64" max="64" width="21.5703125" style="65" hidden="1" customWidth="1"/>
    <col min="65" max="65" width="0.85546875" style="4" customWidth="1"/>
    <col min="66" max="66" width="20.85546875" style="6" customWidth="1"/>
    <col min="67" max="67" width="1.5703125" style="4" customWidth="1"/>
    <col min="68" max="68" width="19.140625" style="65" customWidth="1"/>
    <col min="69" max="69" width="0.85546875" style="4" customWidth="1"/>
    <col min="70" max="70" width="23.42578125" style="6" bestFit="1" customWidth="1"/>
    <col min="71" max="71" width="1.7109375" style="6" customWidth="1"/>
    <col min="72" max="72" width="20.85546875" style="6" customWidth="1"/>
    <col min="73" max="73" width="1.7109375" style="6" customWidth="1"/>
    <col min="74" max="74" width="22.28515625" style="6" customWidth="1"/>
    <col min="75" max="75" width="0.85546875" style="4" customWidth="1"/>
    <col min="76" max="76" width="75.85546875" style="4" hidden="1" customWidth="1"/>
    <col min="77" max="16384" width="9.140625" style="4"/>
  </cols>
  <sheetData>
    <row r="1" spans="1:76" s="18" customFormat="1" ht="15.75">
      <c r="A1" s="277" t="str">
        <f>+Summary!A1</f>
        <v>ENRON CAPITAL &amp; TRADE RESOURCES</v>
      </c>
      <c r="B1" s="3"/>
      <c r="C1" s="130"/>
      <c r="D1" s="122"/>
      <c r="E1" s="123"/>
      <c r="F1" s="122"/>
      <c r="G1" s="123"/>
      <c r="H1" s="122"/>
      <c r="I1" s="123"/>
      <c r="J1" s="123"/>
      <c r="K1" s="122"/>
      <c r="L1" s="134"/>
      <c r="M1" s="122"/>
      <c r="N1" s="124"/>
      <c r="O1" s="122"/>
      <c r="P1" s="124"/>
      <c r="R1" s="68" t="s">
        <v>432</v>
      </c>
      <c r="T1" s="81"/>
      <c r="U1" s="96"/>
      <c r="V1" s="81"/>
      <c r="W1" s="68"/>
      <c r="X1" s="81"/>
      <c r="Y1" s="68"/>
      <c r="Z1" s="81"/>
      <c r="AA1" s="68"/>
      <c r="AB1" s="81"/>
      <c r="AC1" s="68"/>
      <c r="AD1" s="81"/>
      <c r="AE1" s="68"/>
      <c r="AF1" s="68"/>
      <c r="AG1" s="68"/>
      <c r="AH1" s="68"/>
      <c r="AI1" s="4"/>
      <c r="AJ1" s="68"/>
      <c r="AK1" s="4"/>
      <c r="AL1" s="68"/>
      <c r="AM1" s="4"/>
      <c r="AN1" s="68"/>
      <c r="AO1" s="68"/>
      <c r="AP1" s="68"/>
      <c r="AQ1" s="68"/>
      <c r="AR1" s="68"/>
      <c r="AS1" s="68"/>
      <c r="AT1" s="68"/>
      <c r="AU1" s="68"/>
      <c r="AV1" s="68"/>
      <c r="AW1" s="68"/>
      <c r="AX1" s="68"/>
      <c r="AY1" s="68"/>
      <c r="AZ1" s="68"/>
      <c r="BA1" s="68"/>
      <c r="BB1" s="68"/>
      <c r="BC1" s="68"/>
      <c r="BD1" s="68"/>
      <c r="BE1" s="4"/>
      <c r="BF1" s="68"/>
      <c r="BG1" s="4"/>
      <c r="BH1" s="68"/>
      <c r="BI1" s="4"/>
      <c r="BJ1" s="81"/>
      <c r="BK1" s="4"/>
      <c r="BL1" s="81"/>
      <c r="BM1" s="4"/>
      <c r="BN1" s="78"/>
      <c r="BO1" s="4"/>
      <c r="BP1" s="81"/>
      <c r="BQ1" s="4"/>
      <c r="BR1" s="78"/>
      <c r="BS1" s="78"/>
      <c r="BT1" s="78"/>
      <c r="BU1" s="78"/>
      <c r="BV1" s="68"/>
    </row>
    <row r="2" spans="1:76" s="18" customFormat="1" ht="15.75">
      <c r="A2" s="277" t="str">
        <f>+Summary!A2</f>
        <v>Energy Services</v>
      </c>
      <c r="B2" s="3"/>
      <c r="C2" s="130"/>
      <c r="D2" s="122"/>
      <c r="E2" s="123"/>
      <c r="F2" s="122"/>
      <c r="G2" s="123"/>
      <c r="H2" s="122"/>
      <c r="I2" s="123"/>
      <c r="J2" s="123"/>
      <c r="K2" s="122"/>
      <c r="L2" s="134"/>
      <c r="M2" s="122"/>
      <c r="N2" s="124"/>
      <c r="O2" s="122"/>
      <c r="P2" s="124"/>
      <c r="R2" s="68"/>
      <c r="T2" s="81"/>
      <c r="U2" s="96"/>
      <c r="V2" s="81"/>
      <c r="W2" s="68"/>
      <c r="X2" s="81"/>
      <c r="Y2" s="68"/>
      <c r="Z2" s="81"/>
      <c r="AA2" s="68"/>
      <c r="AB2" s="81"/>
      <c r="AC2" s="68"/>
      <c r="AD2" s="81"/>
      <c r="AE2" s="68"/>
      <c r="AF2" s="68"/>
      <c r="AG2" s="68"/>
      <c r="AH2" s="68"/>
      <c r="AI2" s="4"/>
      <c r="AJ2" s="68"/>
      <c r="AK2" s="4"/>
      <c r="AL2" s="68"/>
      <c r="AM2" s="4"/>
      <c r="AN2" s="68"/>
      <c r="AO2" s="68"/>
      <c r="AP2" s="68"/>
      <c r="AQ2" s="68"/>
      <c r="AR2" s="68"/>
      <c r="AS2" s="68"/>
      <c r="AT2" s="68"/>
      <c r="AU2" s="68"/>
      <c r="AV2" s="68"/>
      <c r="AW2" s="68"/>
      <c r="AX2" s="68"/>
      <c r="AY2" s="68"/>
      <c r="AZ2" s="68"/>
      <c r="BA2" s="68"/>
      <c r="BB2" s="68"/>
      <c r="BC2" s="68"/>
      <c r="BD2" s="68"/>
      <c r="BE2" s="4"/>
      <c r="BF2" s="68"/>
      <c r="BG2" s="4"/>
      <c r="BH2" s="68"/>
      <c r="BI2" s="4"/>
      <c r="BJ2" s="81"/>
      <c r="BK2" s="4"/>
      <c r="BL2" s="81"/>
      <c r="BM2" s="4"/>
      <c r="BN2" s="68"/>
      <c r="BO2" s="4"/>
      <c r="BP2" s="81"/>
      <c r="BQ2" s="4"/>
      <c r="BR2" s="68"/>
      <c r="BS2" s="68"/>
      <c r="BT2" s="68"/>
      <c r="BU2" s="68"/>
      <c r="BV2" s="106" t="str">
        <f ca="1">CELL("filename")</f>
        <v>O:\Fin_Ops\Engysvc\PowerPlants\2000 Plants\Weekly Report\[2000 Weekly Report - 102300.xls]Summary</v>
      </c>
    </row>
    <row r="3" spans="1:76" s="18" customFormat="1" ht="15.75">
      <c r="A3" s="278" t="s">
        <v>254</v>
      </c>
      <c r="B3" s="3"/>
      <c r="C3" s="130"/>
      <c r="D3" s="122"/>
      <c r="E3" s="123"/>
      <c r="F3" s="122"/>
      <c r="G3" s="123"/>
      <c r="H3" s="122"/>
      <c r="I3" s="123"/>
      <c r="J3" s="123"/>
      <c r="K3" s="122"/>
      <c r="L3" s="135"/>
      <c r="M3" s="122"/>
      <c r="N3" s="125"/>
      <c r="O3" s="122"/>
      <c r="P3" s="126"/>
      <c r="R3" s="68"/>
      <c r="T3" s="81"/>
      <c r="U3" s="96"/>
      <c r="V3" s="81"/>
      <c r="W3" s="68"/>
      <c r="X3" s="81"/>
      <c r="Y3" s="68"/>
      <c r="Z3" s="81"/>
      <c r="AA3" s="68"/>
      <c r="AB3" s="81"/>
      <c r="AC3" s="68"/>
      <c r="AD3" s="81"/>
      <c r="AE3" s="68"/>
      <c r="AF3" s="68"/>
      <c r="AG3" s="68"/>
      <c r="AH3" s="68"/>
      <c r="AI3" s="4"/>
      <c r="AJ3" s="68"/>
      <c r="AK3" s="4"/>
      <c r="AL3" s="68"/>
      <c r="AM3" s="4"/>
      <c r="AN3" s="68"/>
      <c r="AO3" s="68"/>
      <c r="AP3" s="68"/>
      <c r="AQ3" s="68"/>
      <c r="AR3" s="68"/>
      <c r="AS3" s="68"/>
      <c r="AT3" s="68"/>
      <c r="AU3" s="68"/>
      <c r="AV3" s="68"/>
      <c r="AW3" s="68"/>
      <c r="AX3" s="68"/>
      <c r="AY3" s="68"/>
      <c r="AZ3" s="68"/>
      <c r="BA3" s="68"/>
      <c r="BB3" s="68"/>
      <c r="BC3" s="68"/>
      <c r="BD3" s="68"/>
      <c r="BE3" s="4"/>
      <c r="BF3" s="68"/>
      <c r="BG3" s="4"/>
      <c r="BH3" s="68"/>
      <c r="BI3" s="4"/>
      <c r="BJ3" s="81"/>
      <c r="BK3" s="4"/>
      <c r="BL3" s="81"/>
      <c r="BM3" s="4"/>
      <c r="BN3" s="23"/>
      <c r="BO3" s="4"/>
      <c r="BP3" s="81"/>
      <c r="BQ3" s="4"/>
      <c r="BR3" s="23">
        <f ca="1">NOW()</f>
        <v>36822.429216898148</v>
      </c>
      <c r="BT3" s="23"/>
      <c r="BV3" s="78" t="str">
        <f>Summary!A5</f>
        <v>Revision # 66</v>
      </c>
      <c r="BX3" s="18" t="str">
        <f>Summary!A5</f>
        <v>Revision # 66</v>
      </c>
    </row>
    <row r="4" spans="1:76" s="18" customFormat="1" ht="15.75">
      <c r="A4" s="279"/>
      <c r="B4" s="19">
        <f>Summary!C11</f>
        <v>608</v>
      </c>
      <c r="C4" s="4"/>
      <c r="G4" s="67"/>
      <c r="J4" s="67"/>
      <c r="L4" s="74"/>
      <c r="N4" s="69"/>
      <c r="O4" s="128"/>
      <c r="P4" s="69"/>
      <c r="R4" s="68"/>
      <c r="T4" s="81"/>
      <c r="U4" s="96"/>
      <c r="V4" s="82" t="s">
        <v>122</v>
      </c>
      <c r="W4" s="69"/>
      <c r="X4" s="82" t="s">
        <v>122</v>
      </c>
      <c r="Y4" s="69"/>
      <c r="Z4" s="82" t="s">
        <v>122</v>
      </c>
      <c r="AA4" s="69"/>
      <c r="AB4" s="82" t="s">
        <v>122</v>
      </c>
      <c r="AC4" s="69"/>
      <c r="AD4" s="82" t="s">
        <v>122</v>
      </c>
      <c r="AE4" s="69"/>
      <c r="AF4" s="82" t="s">
        <v>122</v>
      </c>
      <c r="AG4" s="69"/>
      <c r="AH4" s="82" t="s">
        <v>122</v>
      </c>
      <c r="AI4" s="4"/>
      <c r="AJ4" s="82" t="s">
        <v>122</v>
      </c>
      <c r="AK4" s="4"/>
      <c r="AL4" s="82" t="s">
        <v>122</v>
      </c>
      <c r="AM4" s="4"/>
      <c r="AN4" s="82" t="s">
        <v>122</v>
      </c>
      <c r="AO4" s="69"/>
      <c r="AP4" s="82" t="s">
        <v>122</v>
      </c>
      <c r="AQ4" s="69"/>
      <c r="AR4" s="82" t="s">
        <v>122</v>
      </c>
      <c r="AS4" s="69"/>
      <c r="AT4" s="82" t="s">
        <v>122</v>
      </c>
      <c r="AU4" s="82"/>
      <c r="AV4" s="82" t="s">
        <v>122</v>
      </c>
      <c r="AW4" s="82"/>
      <c r="AX4" s="82" t="s">
        <v>122</v>
      </c>
      <c r="AY4" s="82"/>
      <c r="AZ4" s="82" t="s">
        <v>122</v>
      </c>
      <c r="BA4" s="82"/>
      <c r="BB4" s="82" t="s">
        <v>122</v>
      </c>
      <c r="BC4" s="82"/>
      <c r="BD4" s="82" t="s">
        <v>122</v>
      </c>
      <c r="BE4" s="4"/>
      <c r="BF4" s="82" t="s">
        <v>122</v>
      </c>
      <c r="BG4" s="4"/>
      <c r="BH4" s="82" t="s">
        <v>122</v>
      </c>
      <c r="BI4" s="4"/>
      <c r="BJ4" s="82" t="s">
        <v>122</v>
      </c>
      <c r="BK4" s="4"/>
      <c r="BL4" s="82" t="s">
        <v>122</v>
      </c>
      <c r="BM4" s="4"/>
      <c r="BN4" s="71"/>
      <c r="BO4" s="4"/>
      <c r="BP4" s="70" t="s">
        <v>129</v>
      </c>
      <c r="BQ4" s="4"/>
      <c r="BR4" s="71"/>
      <c r="BT4" s="71"/>
      <c r="BV4" s="71"/>
    </row>
    <row r="5" spans="1:76" s="18" customFormat="1" ht="15.75">
      <c r="A5" s="280" t="str">
        <f>Summary!A5</f>
        <v>Revision # 66</v>
      </c>
      <c r="G5" s="67"/>
      <c r="J5" s="67"/>
      <c r="L5" s="136" t="s">
        <v>201</v>
      </c>
      <c r="N5" s="70" t="s">
        <v>0</v>
      </c>
      <c r="O5" s="128"/>
      <c r="P5" s="70" t="s">
        <v>130</v>
      </c>
      <c r="R5" s="71" t="s">
        <v>0</v>
      </c>
      <c r="T5" s="82" t="s">
        <v>44</v>
      </c>
      <c r="U5" s="96"/>
      <c r="V5" s="82" t="s">
        <v>123</v>
      </c>
      <c r="W5" s="69"/>
      <c r="X5" s="82" t="s">
        <v>123</v>
      </c>
      <c r="Y5" s="69"/>
      <c r="Z5" s="82" t="s">
        <v>123</v>
      </c>
      <c r="AA5" s="69"/>
      <c r="AB5" s="82" t="s">
        <v>123</v>
      </c>
      <c r="AC5" s="69"/>
      <c r="AD5" s="82" t="s">
        <v>123</v>
      </c>
      <c r="AE5" s="69"/>
      <c r="AF5" s="82" t="s">
        <v>123</v>
      </c>
      <c r="AG5" s="69"/>
      <c r="AH5" s="82" t="s">
        <v>123</v>
      </c>
      <c r="AI5" s="4"/>
      <c r="AJ5" s="82" t="s">
        <v>123</v>
      </c>
      <c r="AK5" s="4"/>
      <c r="AL5" s="82" t="s">
        <v>123</v>
      </c>
      <c r="AM5" s="4"/>
      <c r="AN5" s="82" t="s">
        <v>123</v>
      </c>
      <c r="AO5" s="69"/>
      <c r="AP5" s="82" t="s">
        <v>123</v>
      </c>
      <c r="AQ5" s="69"/>
      <c r="AR5" s="82" t="s">
        <v>123</v>
      </c>
      <c r="AS5" s="69"/>
      <c r="AT5" s="82" t="s">
        <v>123</v>
      </c>
      <c r="AU5" s="82"/>
      <c r="AV5" s="82" t="s">
        <v>123</v>
      </c>
      <c r="AW5" s="82"/>
      <c r="AX5" s="82" t="s">
        <v>123</v>
      </c>
      <c r="AY5" s="82"/>
      <c r="AZ5" s="82" t="s">
        <v>123</v>
      </c>
      <c r="BA5" s="82"/>
      <c r="BB5" s="82" t="s">
        <v>123</v>
      </c>
      <c r="BC5" s="82"/>
      <c r="BD5" s="82" t="s">
        <v>123</v>
      </c>
      <c r="BE5" s="4"/>
      <c r="BF5" s="82" t="s">
        <v>123</v>
      </c>
      <c r="BG5" s="4"/>
      <c r="BH5" s="82" t="s">
        <v>123</v>
      </c>
      <c r="BI5" s="4"/>
      <c r="BJ5" s="82" t="s">
        <v>123</v>
      </c>
      <c r="BK5" s="4"/>
      <c r="BL5" s="82" t="s">
        <v>123</v>
      </c>
      <c r="BM5" s="4"/>
      <c r="BN5" s="71" t="s">
        <v>44</v>
      </c>
      <c r="BO5" s="4"/>
      <c r="BP5" s="70" t="s">
        <v>130</v>
      </c>
      <c r="BQ5" s="4"/>
      <c r="BR5" s="71" t="s">
        <v>42</v>
      </c>
      <c r="BT5" s="71" t="s">
        <v>144</v>
      </c>
      <c r="BV5" s="71" t="s">
        <v>316</v>
      </c>
    </row>
    <row r="6" spans="1:76" s="18" customFormat="1" ht="15.75">
      <c r="A6" s="280"/>
      <c r="C6" s="76" t="s">
        <v>173</v>
      </c>
      <c r="E6" s="76" t="s">
        <v>1</v>
      </c>
      <c r="G6" s="76" t="s">
        <v>2</v>
      </c>
      <c r="I6" s="76" t="s">
        <v>3</v>
      </c>
      <c r="J6" s="152"/>
      <c r="L6" s="73" t="s">
        <v>202</v>
      </c>
      <c r="N6" s="129" t="s">
        <v>186</v>
      </c>
      <c r="O6" s="128"/>
      <c r="P6" s="129" t="s">
        <v>131</v>
      </c>
      <c r="R6" s="72" t="s">
        <v>43</v>
      </c>
      <c r="T6" s="83">
        <v>36160</v>
      </c>
      <c r="U6" s="96"/>
      <c r="V6" s="83">
        <v>36191</v>
      </c>
      <c r="W6" s="74"/>
      <c r="X6" s="83">
        <v>36219</v>
      </c>
      <c r="Y6" s="74"/>
      <c r="Z6" s="83">
        <v>36250</v>
      </c>
      <c r="AA6" s="74"/>
      <c r="AB6" s="83">
        <v>36280</v>
      </c>
      <c r="AC6" s="74"/>
      <c r="AD6" s="83">
        <v>36311</v>
      </c>
      <c r="AE6" s="74"/>
      <c r="AF6" s="83">
        <v>36341</v>
      </c>
      <c r="AG6" s="74"/>
      <c r="AH6" s="83">
        <v>36372</v>
      </c>
      <c r="AI6" s="4"/>
      <c r="AJ6" s="83">
        <v>36403</v>
      </c>
      <c r="AK6" s="4"/>
      <c r="AL6" s="83">
        <v>36433</v>
      </c>
      <c r="AM6" s="4"/>
      <c r="AN6" s="83">
        <v>36464</v>
      </c>
      <c r="AO6" s="74"/>
      <c r="AP6" s="83">
        <v>36494</v>
      </c>
      <c r="AQ6" s="74"/>
      <c r="AR6" s="83">
        <v>36525</v>
      </c>
      <c r="AS6" s="74"/>
      <c r="AT6" s="83">
        <v>36556</v>
      </c>
      <c r="AU6" s="127"/>
      <c r="AV6" s="83">
        <v>36585</v>
      </c>
      <c r="AW6" s="127"/>
      <c r="AX6" s="83">
        <v>36616</v>
      </c>
      <c r="AY6" s="127"/>
      <c r="AZ6" s="83">
        <v>36646</v>
      </c>
      <c r="BA6" s="127"/>
      <c r="BB6" s="83">
        <v>36677</v>
      </c>
      <c r="BC6" s="127"/>
      <c r="BD6" s="83">
        <v>36707</v>
      </c>
      <c r="BE6" s="4"/>
      <c r="BF6" s="83">
        <v>36738</v>
      </c>
      <c r="BG6" s="4"/>
      <c r="BH6" s="83">
        <v>36769</v>
      </c>
      <c r="BI6" s="4"/>
      <c r="BJ6" s="83">
        <v>36799</v>
      </c>
      <c r="BK6" s="4"/>
      <c r="BL6" s="83">
        <v>36830</v>
      </c>
      <c r="BM6" s="4"/>
      <c r="BN6" s="75" t="s">
        <v>126</v>
      </c>
      <c r="BO6" s="4"/>
      <c r="BP6" s="73" t="s">
        <v>131</v>
      </c>
      <c r="BQ6" s="4"/>
      <c r="BR6" s="75" t="s">
        <v>38</v>
      </c>
      <c r="BT6" s="75" t="s">
        <v>145</v>
      </c>
      <c r="BV6" s="75" t="s">
        <v>39</v>
      </c>
      <c r="BX6" s="75" t="s">
        <v>4</v>
      </c>
    </row>
    <row r="7" spans="1:76" s="18" customFormat="1" ht="15.75">
      <c r="A7" s="280"/>
      <c r="B7" s="1"/>
      <c r="C7" s="2"/>
      <c r="G7" s="67"/>
      <c r="J7" s="67"/>
      <c r="L7" s="137"/>
      <c r="N7" s="82" t="e">
        <f>+Summary!#REF!</f>
        <v>#REF!</v>
      </c>
      <c r="O7" s="128"/>
      <c r="P7" s="69"/>
      <c r="R7" s="82" t="str">
        <f>+Summary!E9</f>
        <v>as of 7/22/99</v>
      </c>
      <c r="T7" s="82" t="str">
        <f>+Summary!$O$4</f>
        <v xml:space="preserve"> As of 10/20/00</v>
      </c>
      <c r="U7" s="96"/>
      <c r="V7" s="82" t="str">
        <f>+Summary!$O$4</f>
        <v xml:space="preserve"> As of 10/20/00</v>
      </c>
      <c r="W7" s="69"/>
      <c r="X7" s="82" t="str">
        <f>+Summary!$O$4</f>
        <v xml:space="preserve"> As of 10/20/00</v>
      </c>
      <c r="Y7" s="69"/>
      <c r="Z7" s="82" t="str">
        <f>+Summary!$O$4</f>
        <v xml:space="preserve"> As of 10/20/00</v>
      </c>
      <c r="AA7" s="69"/>
      <c r="AB7" s="82" t="str">
        <f>+Summary!$O$4</f>
        <v xml:space="preserve"> As of 10/20/00</v>
      </c>
      <c r="AC7" s="69"/>
      <c r="AD7" s="82" t="str">
        <f>+Summary!$O$4</f>
        <v xml:space="preserve"> As of 10/20/00</v>
      </c>
      <c r="AE7" s="69"/>
      <c r="AF7" s="82" t="str">
        <f>+Summary!$O$4</f>
        <v xml:space="preserve"> As of 10/20/00</v>
      </c>
      <c r="AG7" s="69"/>
      <c r="AH7" s="82" t="str">
        <f>+Summary!$O$4</f>
        <v xml:space="preserve"> As of 10/20/00</v>
      </c>
      <c r="AI7" s="4"/>
      <c r="AJ7" s="82" t="str">
        <f>+Summary!$O$4</f>
        <v xml:space="preserve"> As of 10/20/00</v>
      </c>
      <c r="AK7" s="4"/>
      <c r="AL7" s="82" t="str">
        <f>+Summary!$O$4</f>
        <v xml:space="preserve"> As of 10/20/00</v>
      </c>
      <c r="AM7" s="4"/>
      <c r="AN7" s="82" t="str">
        <f>+Summary!$O$4</f>
        <v xml:space="preserve"> As of 10/20/00</v>
      </c>
      <c r="AO7" s="69"/>
      <c r="AP7" s="82" t="str">
        <f>+Summary!$O$4</f>
        <v xml:space="preserve"> As of 10/20/00</v>
      </c>
      <c r="AQ7" s="69"/>
      <c r="AR7" s="82" t="str">
        <f>+Summary!$O$4</f>
        <v xml:space="preserve"> As of 10/20/00</v>
      </c>
      <c r="AS7" s="69"/>
      <c r="AT7" s="82" t="str">
        <f>+Summary!$O$4</f>
        <v xml:space="preserve"> As of 10/20/00</v>
      </c>
      <c r="AU7" s="82"/>
      <c r="AV7" s="82" t="str">
        <f>+Summary!$O$4</f>
        <v xml:space="preserve"> As of 10/20/00</v>
      </c>
      <c r="AW7" s="82"/>
      <c r="AX7" s="82" t="str">
        <f>+Summary!$O$4</f>
        <v xml:space="preserve"> As of 10/20/00</v>
      </c>
      <c r="AY7" s="82"/>
      <c r="AZ7" s="82"/>
      <c r="BA7" s="82"/>
      <c r="BB7" s="82"/>
      <c r="BC7" s="82"/>
      <c r="BD7" s="82" t="str">
        <f>+Summary!$O$4</f>
        <v xml:space="preserve"> As of 10/20/00</v>
      </c>
      <c r="BE7" s="4"/>
      <c r="BF7" s="82" t="str">
        <f>+Summary!$O$4</f>
        <v xml:space="preserve"> As of 10/20/00</v>
      </c>
      <c r="BG7" s="4"/>
      <c r="BH7" s="82" t="str">
        <f>+Summary!$O$4</f>
        <v xml:space="preserve"> As of 10/20/00</v>
      </c>
      <c r="BI7" s="4"/>
      <c r="BJ7" s="82" t="str">
        <f>+Summary!$O$4</f>
        <v xml:space="preserve"> As of 10/20/00</v>
      </c>
      <c r="BK7" s="4"/>
      <c r="BL7" s="82" t="str">
        <f>+Summary!$O$4</f>
        <v xml:space="preserve"> As of 10/20/00</v>
      </c>
      <c r="BM7" s="4"/>
      <c r="BN7" s="71" t="str">
        <f>Summary!O4</f>
        <v xml:space="preserve"> As of 10/20/00</v>
      </c>
      <c r="BO7" s="4"/>
      <c r="BP7" s="64" t="str">
        <f>+Summary!$O$4</f>
        <v xml:space="preserve"> As of 10/20/00</v>
      </c>
      <c r="BQ7" s="4"/>
      <c r="BR7" s="71"/>
      <c r="BT7" s="71"/>
      <c r="BV7" s="71"/>
    </row>
    <row r="8" spans="1:76">
      <c r="A8" s="58" t="s">
        <v>5</v>
      </c>
      <c r="B8" s="17"/>
      <c r="C8" s="55"/>
      <c r="E8" s="4"/>
      <c r="G8" s="4"/>
      <c r="I8" s="4"/>
      <c r="L8" s="138"/>
      <c r="M8" s="6"/>
      <c r="O8" s="6"/>
      <c r="Q8" s="6"/>
      <c r="S8" s="6"/>
      <c r="T8" s="22"/>
      <c r="U8" s="6"/>
      <c r="V8" s="22"/>
      <c r="X8" s="22"/>
      <c r="Z8" s="22"/>
      <c r="AB8" s="22"/>
      <c r="AD8" s="22"/>
      <c r="AF8" s="22"/>
      <c r="AH8" s="22"/>
      <c r="AI8" s="4"/>
      <c r="AJ8" s="22"/>
      <c r="AL8" s="22"/>
      <c r="AN8" s="22"/>
      <c r="AP8" s="22"/>
      <c r="AR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F8" s="22"/>
      <c r="BH8" s="22"/>
      <c r="BJ8" s="22"/>
      <c r="BL8" s="22"/>
      <c r="BP8" s="22"/>
      <c r="BW8" s="6"/>
    </row>
    <row r="9" spans="1:76">
      <c r="A9" s="100"/>
      <c r="B9" s="17" t="s">
        <v>263</v>
      </c>
      <c r="E9" s="4"/>
      <c r="G9" s="4"/>
      <c r="I9" s="4"/>
      <c r="J9" s="5" t="s">
        <v>0</v>
      </c>
      <c r="L9" s="138" t="s">
        <v>202</v>
      </c>
      <c r="M9" s="6"/>
      <c r="N9" s="6">
        <v>0</v>
      </c>
      <c r="O9" s="6"/>
      <c r="P9" s="6">
        <v>0</v>
      </c>
      <c r="Q9" s="6"/>
      <c r="R9" s="6">
        <v>140040940</v>
      </c>
      <c r="S9" s="6"/>
      <c r="T9" s="6">
        <v>6800000</v>
      </c>
      <c r="U9" s="6"/>
      <c r="V9" s="6"/>
      <c r="X9" s="6">
        <v>32884800</v>
      </c>
      <c r="Z9" s="6"/>
      <c r="AB9" s="6"/>
      <c r="AD9" s="6">
        <v>18310527</v>
      </c>
      <c r="AF9" s="6">
        <v>6800000</v>
      </c>
      <c r="AH9" s="6">
        <v>5225143.4400000004</v>
      </c>
      <c r="AI9" s="4"/>
      <c r="AJ9" s="6">
        <v>6152847</v>
      </c>
      <c r="AL9" s="6">
        <v>6924847</v>
      </c>
      <c r="AN9" s="6">
        <v>6924847</v>
      </c>
      <c r="AP9" s="6">
        <v>6924847</v>
      </c>
      <c r="AR9" s="6">
        <v>24688143.629999999</v>
      </c>
      <c r="AT9" s="6">
        <v>0</v>
      </c>
      <c r="AV9" s="6">
        <v>13325691.369999999</v>
      </c>
      <c r="AX9" s="6">
        <v>7103247</v>
      </c>
      <c r="AZ9" s="6">
        <v>0</v>
      </c>
      <c r="BB9" s="6">
        <v>0</v>
      </c>
      <c r="BD9" s="6">
        <v>0</v>
      </c>
      <c r="BF9" s="6">
        <v>0</v>
      </c>
      <c r="BH9" s="6">
        <v>0</v>
      </c>
      <c r="BJ9" s="6">
        <v>0</v>
      </c>
      <c r="BL9" s="6">
        <v>0</v>
      </c>
      <c r="BN9" s="6">
        <f>SUM(T9:BM9)</f>
        <v>142064940.44</v>
      </c>
      <c r="BP9" s="6">
        <f>142064940-R9-192000</f>
        <v>1832000</v>
      </c>
      <c r="BR9" s="6">
        <f>IF(+R9-BN9+BP9&gt;0,R9-BN9+BP9,0)</f>
        <v>0</v>
      </c>
      <c r="BT9" s="6">
        <f>+BN9+BR9</f>
        <v>142064940.44</v>
      </c>
      <c r="BV9" s="6">
        <f>+R9-BT9</f>
        <v>-2024000.4399999976</v>
      </c>
      <c r="BW9" s="6"/>
    </row>
    <row r="10" spans="1:76">
      <c r="A10" s="100"/>
      <c r="B10" s="17" t="s">
        <v>121</v>
      </c>
      <c r="E10" s="4"/>
      <c r="G10" s="4"/>
      <c r="I10" s="4"/>
      <c r="J10" s="5" t="s">
        <v>0</v>
      </c>
      <c r="L10" s="138" t="s">
        <v>202</v>
      </c>
      <c r="M10" s="6"/>
      <c r="N10" s="6">
        <v>93330000</v>
      </c>
      <c r="O10" s="6"/>
      <c r="P10" s="6">
        <v>0</v>
      </c>
      <c r="Q10" s="6"/>
      <c r="R10" s="6">
        <v>192000</v>
      </c>
      <c r="S10" s="6"/>
      <c r="T10" s="6"/>
      <c r="U10" s="6"/>
      <c r="V10" s="6"/>
      <c r="X10" s="6"/>
      <c r="Z10" s="6"/>
      <c r="AB10" s="6"/>
      <c r="AD10" s="6">
        <v>0</v>
      </c>
      <c r="AF10" s="6">
        <v>0</v>
      </c>
      <c r="AH10" s="6">
        <v>0</v>
      </c>
      <c r="AI10" s="4"/>
      <c r="AJ10" s="6">
        <v>0</v>
      </c>
      <c r="AL10" s="6">
        <v>0</v>
      </c>
      <c r="AN10" s="6">
        <v>0</v>
      </c>
      <c r="AP10" s="6">
        <v>0</v>
      </c>
      <c r="AR10" s="6">
        <v>0</v>
      </c>
      <c r="AT10" s="6">
        <v>0</v>
      </c>
      <c r="AV10" s="6">
        <v>0</v>
      </c>
      <c r="AX10" s="6">
        <v>0</v>
      </c>
      <c r="AZ10" s="6">
        <v>0</v>
      </c>
      <c r="BB10" s="6">
        <v>0</v>
      </c>
      <c r="BD10" s="6">
        <v>0</v>
      </c>
      <c r="BF10" s="6">
        <v>0</v>
      </c>
      <c r="BH10" s="6">
        <v>0</v>
      </c>
      <c r="BJ10" s="6">
        <v>0</v>
      </c>
      <c r="BL10" s="6">
        <v>0</v>
      </c>
      <c r="BN10" s="6">
        <f>SUM(T10:BM10)</f>
        <v>0</v>
      </c>
      <c r="BP10" s="6">
        <v>-192000</v>
      </c>
      <c r="BR10" s="6">
        <f>IF(+R10-BN10+BP10&gt;0,R10-BN10+BP10,0)</f>
        <v>0</v>
      </c>
      <c r="BT10" s="6">
        <f>+BN10+BR10</f>
        <v>0</v>
      </c>
      <c r="BV10" s="6">
        <f>+R10-BT10</f>
        <v>192000</v>
      </c>
      <c r="BW10" s="6"/>
    </row>
    <row r="11" spans="1:76">
      <c r="A11" s="100"/>
      <c r="B11" s="17"/>
      <c r="E11" s="4"/>
      <c r="G11" s="4"/>
      <c r="I11" s="4"/>
      <c r="L11" s="138"/>
      <c r="M11" s="6"/>
      <c r="N11" s="12"/>
      <c r="O11" s="6"/>
      <c r="P11" s="12"/>
      <c r="Q11" s="6"/>
      <c r="R11" s="12"/>
      <c r="S11" s="6"/>
      <c r="T11" s="12"/>
      <c r="U11" s="6"/>
      <c r="V11" s="12"/>
      <c r="X11" s="12"/>
      <c r="Z11" s="12"/>
      <c r="AB11" s="12"/>
      <c r="AD11" s="12"/>
      <c r="AF11" s="12"/>
      <c r="AH11" s="12"/>
      <c r="AI11" s="4"/>
      <c r="AJ11" s="12"/>
      <c r="AL11" s="12"/>
      <c r="AN11" s="12"/>
      <c r="AP11" s="12"/>
      <c r="AR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F11" s="12"/>
      <c r="BH11" s="12"/>
      <c r="BJ11" s="12"/>
      <c r="BL11" s="12"/>
      <c r="BN11" s="12"/>
      <c r="BP11" s="12"/>
      <c r="BR11" s="6">
        <f>IF(+R11-BN11+BP11&gt;0,R11-BN11+BP11,0)</f>
        <v>0</v>
      </c>
      <c r="BT11" s="12"/>
      <c r="BW11" s="6"/>
    </row>
    <row r="12" spans="1:76">
      <c r="A12" s="100"/>
      <c r="B12" s="17" t="s">
        <v>169</v>
      </c>
      <c r="E12" s="4"/>
      <c r="G12" s="4"/>
      <c r="I12" s="4"/>
      <c r="L12" s="138"/>
      <c r="M12" s="6"/>
      <c r="N12" s="101">
        <f>SUM(N9:N11)</f>
        <v>93330000</v>
      </c>
      <c r="O12" s="6"/>
      <c r="P12" s="101">
        <f>SUM(P9:P11)</f>
        <v>0</v>
      </c>
      <c r="Q12" s="6"/>
      <c r="R12" s="101">
        <f>SUM(R9:R11)</f>
        <v>140232940</v>
      </c>
      <c r="S12" s="6"/>
      <c r="T12" s="101">
        <f>SUM(T9:T11)</f>
        <v>6800000</v>
      </c>
      <c r="U12" s="6"/>
      <c r="V12" s="101">
        <f>SUM(V9:V11)</f>
        <v>0</v>
      </c>
      <c r="X12" s="101">
        <f>SUM(X9:X11)</f>
        <v>32884800</v>
      </c>
      <c r="Z12" s="101">
        <f>SUM(Z9:Z11)</f>
        <v>0</v>
      </c>
      <c r="AB12" s="101">
        <f>SUM(AB9:AB11)</f>
        <v>0</v>
      </c>
      <c r="AD12" s="101">
        <f>SUM(AD9:AD11)</f>
        <v>18310527</v>
      </c>
      <c r="AF12" s="101">
        <f>SUM(AF9:AF11)</f>
        <v>6800000</v>
      </c>
      <c r="AH12" s="101">
        <f>SUM(AH9:AH11)</f>
        <v>5225143.4400000004</v>
      </c>
      <c r="AI12" s="4"/>
      <c r="AJ12" s="101">
        <f>SUM(AJ9:AJ11)</f>
        <v>6152847</v>
      </c>
      <c r="AL12" s="101">
        <f>SUM(AL9:AL11)</f>
        <v>6924847</v>
      </c>
      <c r="AN12" s="101">
        <f>SUM(AN9:AN11)</f>
        <v>6924847</v>
      </c>
      <c r="AP12" s="101">
        <f>SUM(AP9:AP11)</f>
        <v>6924847</v>
      </c>
      <c r="AR12" s="101">
        <f>SUM(AR9:AR11)</f>
        <v>24688143.629999999</v>
      </c>
      <c r="AT12" s="101">
        <f>SUM(AT9:AT11)</f>
        <v>0</v>
      </c>
      <c r="AU12" s="12"/>
      <c r="AV12" s="101">
        <f>SUM(AV9:AV11)</f>
        <v>13325691.369999999</v>
      </c>
      <c r="AW12" s="12"/>
      <c r="AX12" s="101">
        <f>SUM(AX9:AX11)</f>
        <v>7103247</v>
      </c>
      <c r="AY12" s="12"/>
      <c r="AZ12" s="101">
        <f>SUM(AZ9:AZ11)</f>
        <v>0</v>
      </c>
      <c r="BA12" s="12"/>
      <c r="BB12" s="101">
        <f>SUM(BB9:BB11)</f>
        <v>0</v>
      </c>
      <c r="BC12" s="12"/>
      <c r="BD12" s="101">
        <f>SUM(BD9:BD11)</f>
        <v>0</v>
      </c>
      <c r="BF12" s="101">
        <f>SUM(BF9:BF11)</f>
        <v>0</v>
      </c>
      <c r="BH12" s="101">
        <f>SUM(BH9:BH11)</f>
        <v>0</v>
      </c>
      <c r="BJ12" s="101">
        <f>SUM(BJ9:BJ11)</f>
        <v>0</v>
      </c>
      <c r="BL12" s="101">
        <f>SUM(BL9:BL11)</f>
        <v>0</v>
      </c>
      <c r="BN12" s="101">
        <f>SUM(BN9:BN11)</f>
        <v>142064940.44</v>
      </c>
      <c r="BP12" s="101">
        <f>SUM(BP9:BP11)</f>
        <v>1640000</v>
      </c>
      <c r="BR12" s="101">
        <f>SUM(BR9:BR11)</f>
        <v>0</v>
      </c>
      <c r="BT12" s="101">
        <f>SUM(BT9:BT11)</f>
        <v>142064940.44</v>
      </c>
      <c r="BV12" s="101">
        <f>SUM(BV9:BV11)</f>
        <v>-1832000.4399999976</v>
      </c>
      <c r="BW12" s="6"/>
    </row>
    <row r="13" spans="1:76">
      <c r="A13" s="100"/>
      <c r="B13" s="17"/>
      <c r="E13" s="4"/>
      <c r="G13" s="4"/>
      <c r="I13" s="4"/>
      <c r="L13" s="138"/>
      <c r="M13" s="6"/>
      <c r="O13" s="6"/>
      <c r="Q13" s="6"/>
      <c r="S13" s="6"/>
      <c r="T13" s="6"/>
      <c r="U13" s="6"/>
      <c r="V13" s="6"/>
      <c r="X13" s="6"/>
      <c r="Z13" s="6"/>
      <c r="AB13" s="6"/>
      <c r="AD13" s="6"/>
      <c r="AI13" s="4"/>
      <c r="BJ13" s="6"/>
      <c r="BL13" s="6"/>
      <c r="BP13" s="6"/>
      <c r="BW13" s="6"/>
    </row>
    <row r="14" spans="1:76" hidden="1">
      <c r="A14" s="100"/>
      <c r="B14" s="17" t="s">
        <v>26</v>
      </c>
      <c r="E14" s="4"/>
      <c r="G14" s="4"/>
      <c r="I14" s="4"/>
      <c r="L14" s="138" t="s">
        <v>202</v>
      </c>
      <c r="M14" s="6"/>
      <c r="N14" s="6">
        <v>0</v>
      </c>
      <c r="O14" s="6"/>
      <c r="P14" s="6">
        <v>0</v>
      </c>
      <c r="Q14" s="6"/>
      <c r="R14" s="6">
        <f>+N14+P14</f>
        <v>0</v>
      </c>
      <c r="S14" s="6"/>
      <c r="T14" s="6">
        <v>0</v>
      </c>
      <c r="U14" s="6"/>
      <c r="V14" s="6">
        <v>0</v>
      </c>
      <c r="X14" s="6">
        <v>0</v>
      </c>
      <c r="Z14" s="6">
        <v>0</v>
      </c>
      <c r="AB14" s="6">
        <v>0</v>
      </c>
      <c r="AD14" s="6">
        <v>0</v>
      </c>
      <c r="AF14" s="6">
        <v>0</v>
      </c>
      <c r="AH14" s="6">
        <v>0</v>
      </c>
      <c r="AI14" s="4"/>
      <c r="AJ14" s="6">
        <v>0</v>
      </c>
      <c r="AL14" s="6">
        <v>0</v>
      </c>
      <c r="AN14" s="6">
        <v>0</v>
      </c>
      <c r="AP14" s="6">
        <v>0</v>
      </c>
      <c r="AR14" s="6">
        <v>0</v>
      </c>
      <c r="AT14" s="6">
        <v>0</v>
      </c>
      <c r="AV14" s="6">
        <v>0</v>
      </c>
      <c r="AX14" s="6">
        <v>0</v>
      </c>
      <c r="AZ14" s="6">
        <v>0</v>
      </c>
      <c r="BB14" s="6">
        <v>0</v>
      </c>
      <c r="BD14" s="6">
        <v>0</v>
      </c>
      <c r="BF14" s="6">
        <v>0</v>
      </c>
      <c r="BH14" s="6">
        <v>0</v>
      </c>
      <c r="BJ14" s="6">
        <v>0</v>
      </c>
      <c r="BL14" s="6">
        <v>0</v>
      </c>
      <c r="BN14" s="6">
        <f>SUM(T14:BM14)</f>
        <v>0</v>
      </c>
      <c r="BP14" s="6">
        <v>0</v>
      </c>
      <c r="BR14" s="6">
        <f>+R14-BN14+BP14</f>
        <v>0</v>
      </c>
      <c r="BT14" s="6">
        <f t="shared" ref="BT14:BT30" si="0">+BN14+BR14</f>
        <v>0</v>
      </c>
      <c r="BV14" s="6">
        <f>+R14-BT14</f>
        <v>0</v>
      </c>
      <c r="BW14" s="6"/>
    </row>
    <row r="15" spans="1:76">
      <c r="A15" s="100"/>
      <c r="B15" s="17" t="s">
        <v>221</v>
      </c>
      <c r="E15" s="4"/>
      <c r="G15" s="4"/>
      <c r="I15" s="4"/>
      <c r="J15" s="5" t="s">
        <v>0</v>
      </c>
      <c r="L15" s="138" t="s">
        <v>202</v>
      </c>
      <c r="M15" s="6"/>
      <c r="N15" s="6">
        <v>0</v>
      </c>
      <c r="O15" s="6"/>
      <c r="P15" s="6">
        <v>0</v>
      </c>
      <c r="Q15" s="6"/>
      <c r="R15" s="6">
        <v>5878600</v>
      </c>
      <c r="S15" s="6"/>
      <c r="T15" s="6">
        <v>0</v>
      </c>
      <c r="U15" s="6"/>
      <c r="V15" s="6">
        <v>1250000</v>
      </c>
      <c r="X15" s="6">
        <v>0</v>
      </c>
      <c r="Z15" s="6">
        <v>0</v>
      </c>
      <c r="AB15" s="6">
        <v>0</v>
      </c>
      <c r="AD15" s="6">
        <v>0</v>
      </c>
      <c r="AF15" s="6">
        <v>0</v>
      </c>
      <c r="AH15" s="6">
        <f>-740943.25+666672.85</f>
        <v>-74270.400000000023</v>
      </c>
      <c r="AI15" s="4"/>
      <c r="AJ15" s="6">
        <v>7480</v>
      </c>
      <c r="AL15" s="6">
        <v>0</v>
      </c>
      <c r="AN15" s="6">
        <v>1774814.4</v>
      </c>
      <c r="AP15" s="6">
        <v>0</v>
      </c>
      <c r="AR15" s="6">
        <v>1774814.4</v>
      </c>
      <c r="AT15" s="6">
        <v>591604.80000000005</v>
      </c>
      <c r="AX15" s="6">
        <v>0</v>
      </c>
      <c r="AZ15" s="6">
        <v>427250</v>
      </c>
      <c r="BB15" s="6">
        <v>590954.80000000005</v>
      </c>
      <c r="BD15" s="6">
        <v>0</v>
      </c>
      <c r="BF15" s="6">
        <v>0</v>
      </c>
      <c r="BH15" s="6">
        <v>0</v>
      </c>
      <c r="BJ15" s="6">
        <v>0</v>
      </c>
      <c r="BL15" s="6">
        <v>0</v>
      </c>
      <c r="BN15" s="6">
        <f>SUM(T15:BM15)</f>
        <v>6342648</v>
      </c>
      <c r="BP15" s="6">
        <f>5916048-5878600+220650+206600</f>
        <v>464698</v>
      </c>
      <c r="BR15" s="6">
        <f t="shared" ref="BR15:BR30" si="1">IF(+R15-BN15+BP15&gt;0,R15-BN15+BP15,0)</f>
        <v>650</v>
      </c>
      <c r="BT15" s="6">
        <f t="shared" si="0"/>
        <v>6343298</v>
      </c>
      <c r="BV15" s="6">
        <f>+R15-BT15</f>
        <v>-464698</v>
      </c>
      <c r="BW15" s="6"/>
    </row>
    <row r="16" spans="1:76">
      <c r="A16" s="100"/>
      <c r="B16" s="17" t="s">
        <v>224</v>
      </c>
      <c r="E16" s="4"/>
      <c r="G16" s="4"/>
      <c r="I16" s="4"/>
      <c r="J16" s="5" t="s">
        <v>0</v>
      </c>
      <c r="L16" s="138" t="s">
        <v>202</v>
      </c>
      <c r="M16" s="6"/>
      <c r="O16" s="6"/>
      <c r="Q16" s="6"/>
      <c r="S16" s="6"/>
      <c r="T16" s="6"/>
      <c r="U16" s="6"/>
      <c r="V16" s="6"/>
      <c r="X16" s="6"/>
      <c r="Z16" s="6"/>
      <c r="AB16" s="6"/>
      <c r="AD16" s="6"/>
      <c r="AI16" s="4"/>
      <c r="BJ16" s="6"/>
      <c r="BL16" s="6"/>
      <c r="BP16" s="6"/>
      <c r="BR16" s="6">
        <f t="shared" si="1"/>
        <v>0</v>
      </c>
      <c r="BT16" s="6">
        <f t="shared" si="0"/>
        <v>0</v>
      </c>
      <c r="BV16" s="6">
        <f t="shared" ref="BV16:BV29" si="2">+R16-BT16</f>
        <v>0</v>
      </c>
      <c r="BW16" s="6"/>
    </row>
    <row r="17" spans="1:75">
      <c r="A17" s="100"/>
      <c r="B17" s="17" t="s">
        <v>225</v>
      </c>
      <c r="E17" s="4"/>
      <c r="G17" s="4"/>
      <c r="I17" s="4"/>
      <c r="J17" s="5" t="s">
        <v>0</v>
      </c>
      <c r="L17" s="138" t="s">
        <v>202</v>
      </c>
      <c r="M17" s="6"/>
      <c r="O17" s="6"/>
      <c r="Q17" s="6"/>
      <c r="S17" s="6"/>
      <c r="T17" s="6"/>
      <c r="U17" s="6"/>
      <c r="V17" s="6"/>
      <c r="X17" s="6"/>
      <c r="Z17" s="6"/>
      <c r="AB17" s="6"/>
      <c r="AD17" s="6"/>
      <c r="AI17" s="4"/>
      <c r="BJ17" s="6"/>
      <c r="BL17" s="6"/>
      <c r="BP17" s="6"/>
      <c r="BR17" s="6">
        <f t="shared" si="1"/>
        <v>0</v>
      </c>
      <c r="BT17" s="6">
        <f t="shared" si="0"/>
        <v>0</v>
      </c>
      <c r="BV17" s="6">
        <f t="shared" si="2"/>
        <v>0</v>
      </c>
      <c r="BW17" s="6"/>
    </row>
    <row r="18" spans="1:75">
      <c r="A18" s="100"/>
      <c r="B18" s="17" t="s">
        <v>222</v>
      </c>
      <c r="E18" s="4"/>
      <c r="G18" s="4"/>
      <c r="I18" s="4"/>
      <c r="J18" s="5" t="s">
        <v>0</v>
      </c>
      <c r="L18" s="138" t="s">
        <v>202</v>
      </c>
      <c r="M18" s="6"/>
      <c r="O18" s="6"/>
      <c r="Q18" s="6"/>
      <c r="S18" s="6"/>
      <c r="T18" s="6"/>
      <c r="U18" s="6"/>
      <c r="V18" s="6"/>
      <c r="X18" s="6"/>
      <c r="Z18" s="6"/>
      <c r="AB18" s="6"/>
      <c r="AD18" s="6"/>
      <c r="AI18" s="4"/>
      <c r="BJ18" s="6"/>
      <c r="BL18" s="6"/>
      <c r="BP18" s="6"/>
      <c r="BR18" s="6">
        <f t="shared" si="1"/>
        <v>0</v>
      </c>
      <c r="BT18" s="6">
        <f t="shared" si="0"/>
        <v>0</v>
      </c>
      <c r="BV18" s="6">
        <f t="shared" si="2"/>
        <v>0</v>
      </c>
      <c r="BW18" s="6"/>
    </row>
    <row r="19" spans="1:75">
      <c r="A19" s="100"/>
      <c r="B19" s="17" t="s">
        <v>223</v>
      </c>
      <c r="E19" s="4"/>
      <c r="G19" s="4"/>
      <c r="I19" s="4"/>
      <c r="J19" s="5" t="s">
        <v>0</v>
      </c>
      <c r="L19" s="138" t="s">
        <v>202</v>
      </c>
      <c r="M19" s="6"/>
      <c r="O19" s="6"/>
      <c r="Q19" s="6"/>
      <c r="R19" s="6">
        <v>0</v>
      </c>
      <c r="S19" s="6"/>
      <c r="T19" s="6"/>
      <c r="U19" s="6"/>
      <c r="V19" s="6"/>
      <c r="X19" s="6"/>
      <c r="Z19" s="6"/>
      <c r="AB19" s="6"/>
      <c r="AD19" s="6"/>
      <c r="AI19" s="4"/>
      <c r="BJ19" s="6"/>
      <c r="BL19" s="6"/>
      <c r="BP19" s="6"/>
      <c r="BR19" s="6">
        <f t="shared" si="1"/>
        <v>0</v>
      </c>
      <c r="BT19" s="6">
        <f t="shared" si="0"/>
        <v>0</v>
      </c>
      <c r="BV19" s="6">
        <f t="shared" si="2"/>
        <v>0</v>
      </c>
      <c r="BW19" s="6"/>
    </row>
    <row r="20" spans="1:75" hidden="1">
      <c r="A20" s="100"/>
      <c r="B20" s="17"/>
      <c r="E20" s="4"/>
      <c r="G20" s="4"/>
      <c r="I20" s="4"/>
      <c r="J20" s="5" t="s">
        <v>0</v>
      </c>
      <c r="L20" s="138"/>
      <c r="M20" s="6"/>
      <c r="O20" s="6"/>
      <c r="Q20" s="6"/>
      <c r="S20" s="6"/>
      <c r="T20" s="6"/>
      <c r="U20" s="6"/>
      <c r="V20" s="6"/>
      <c r="X20" s="6"/>
      <c r="Z20" s="6"/>
      <c r="AB20" s="6"/>
      <c r="AD20" s="6"/>
      <c r="AI20" s="4"/>
      <c r="BJ20" s="6"/>
      <c r="BL20" s="6"/>
      <c r="BP20" s="6"/>
      <c r="BR20" s="6">
        <f t="shared" si="1"/>
        <v>0</v>
      </c>
      <c r="BT20" s="6">
        <f t="shared" si="0"/>
        <v>0</v>
      </c>
      <c r="BV20" s="6">
        <f t="shared" si="2"/>
        <v>0</v>
      </c>
      <c r="BW20" s="6"/>
    </row>
    <row r="21" spans="1:75" hidden="1">
      <c r="A21" s="100"/>
      <c r="B21" s="17" t="s">
        <v>7</v>
      </c>
      <c r="E21" s="4"/>
      <c r="G21" s="4"/>
      <c r="I21" s="4"/>
      <c r="J21" s="5" t="s">
        <v>0</v>
      </c>
      <c r="L21" s="138" t="s">
        <v>202</v>
      </c>
      <c r="M21" s="6"/>
      <c r="N21" s="6">
        <v>0</v>
      </c>
      <c r="O21" s="6"/>
      <c r="P21" s="6">
        <v>0</v>
      </c>
      <c r="Q21" s="6"/>
      <c r="R21" s="6">
        <f t="shared" ref="R21:R28" si="3">+N21+P21</f>
        <v>0</v>
      </c>
      <c r="S21" s="6"/>
      <c r="T21" s="6">
        <v>0</v>
      </c>
      <c r="U21" s="6"/>
      <c r="V21" s="6">
        <v>0</v>
      </c>
      <c r="X21" s="6">
        <v>0</v>
      </c>
      <c r="Z21" s="6">
        <v>0</v>
      </c>
      <c r="AB21" s="6">
        <v>0</v>
      </c>
      <c r="AD21" s="6">
        <v>0</v>
      </c>
      <c r="AF21" s="6">
        <v>0</v>
      </c>
      <c r="AH21" s="6">
        <v>0</v>
      </c>
      <c r="AI21" s="4"/>
      <c r="AJ21" s="6">
        <v>0</v>
      </c>
      <c r="AL21" s="6">
        <v>0</v>
      </c>
      <c r="AN21" s="6">
        <v>0</v>
      </c>
      <c r="AP21" s="6">
        <v>0</v>
      </c>
      <c r="AR21" s="6">
        <v>0</v>
      </c>
      <c r="AT21" s="6">
        <v>0</v>
      </c>
      <c r="AV21" s="6">
        <v>0</v>
      </c>
      <c r="AX21" s="6">
        <v>0</v>
      </c>
      <c r="AZ21" s="6">
        <v>0</v>
      </c>
      <c r="BB21" s="6">
        <v>0</v>
      </c>
      <c r="BD21" s="6">
        <v>0</v>
      </c>
      <c r="BF21" s="6">
        <v>0</v>
      </c>
      <c r="BH21" s="6">
        <v>0</v>
      </c>
      <c r="BJ21" s="6">
        <v>0</v>
      </c>
      <c r="BL21" s="6">
        <v>0</v>
      </c>
      <c r="BN21" s="6">
        <f t="shared" ref="BN21:BN29" si="4">SUM(T21:BM21)</f>
        <v>0</v>
      </c>
      <c r="BP21" s="6">
        <v>0</v>
      </c>
      <c r="BR21" s="6">
        <f t="shared" si="1"/>
        <v>0</v>
      </c>
      <c r="BT21" s="6">
        <f t="shared" si="0"/>
        <v>0</v>
      </c>
      <c r="BV21" s="6">
        <f t="shared" si="2"/>
        <v>0</v>
      </c>
      <c r="BW21" s="6"/>
    </row>
    <row r="22" spans="1:75" hidden="1">
      <c r="A22" s="100"/>
      <c r="B22" s="17" t="s">
        <v>8</v>
      </c>
      <c r="E22" s="4"/>
      <c r="G22" s="4"/>
      <c r="I22" s="4"/>
      <c r="J22" s="5" t="s">
        <v>0</v>
      </c>
      <c r="L22" s="138" t="s">
        <v>202</v>
      </c>
      <c r="M22" s="6"/>
      <c r="N22" s="6">
        <v>0</v>
      </c>
      <c r="O22" s="6"/>
      <c r="P22" s="6">
        <v>0</v>
      </c>
      <c r="Q22" s="6"/>
      <c r="R22" s="6">
        <f t="shared" si="3"/>
        <v>0</v>
      </c>
      <c r="S22" s="6"/>
      <c r="T22" s="6">
        <v>0</v>
      </c>
      <c r="U22" s="6"/>
      <c r="V22" s="6">
        <v>0</v>
      </c>
      <c r="X22" s="6">
        <v>0</v>
      </c>
      <c r="Z22" s="6">
        <v>0</v>
      </c>
      <c r="AB22" s="6">
        <v>0</v>
      </c>
      <c r="AD22" s="6">
        <v>0</v>
      </c>
      <c r="AF22" s="6">
        <v>0</v>
      </c>
      <c r="AH22" s="6">
        <v>0</v>
      </c>
      <c r="AI22" s="4"/>
      <c r="AJ22" s="6">
        <v>0</v>
      </c>
      <c r="AL22" s="6">
        <v>0</v>
      </c>
      <c r="AN22" s="6">
        <v>0</v>
      </c>
      <c r="AP22" s="6">
        <v>0</v>
      </c>
      <c r="AR22" s="6">
        <v>0</v>
      </c>
      <c r="AT22" s="6">
        <v>0</v>
      </c>
      <c r="AV22" s="6">
        <v>0</v>
      </c>
      <c r="AX22" s="6">
        <v>0</v>
      </c>
      <c r="AZ22" s="6">
        <v>0</v>
      </c>
      <c r="BB22" s="6">
        <v>0</v>
      </c>
      <c r="BD22" s="6">
        <v>0</v>
      </c>
      <c r="BF22" s="6">
        <v>0</v>
      </c>
      <c r="BH22" s="6">
        <v>0</v>
      </c>
      <c r="BJ22" s="6">
        <v>0</v>
      </c>
      <c r="BL22" s="6">
        <v>0</v>
      </c>
      <c r="BN22" s="6">
        <f t="shared" si="4"/>
        <v>0</v>
      </c>
      <c r="BP22" s="6">
        <v>0</v>
      </c>
      <c r="BR22" s="6">
        <f t="shared" si="1"/>
        <v>0</v>
      </c>
      <c r="BT22" s="6">
        <f t="shared" si="0"/>
        <v>0</v>
      </c>
      <c r="BV22" s="6">
        <f t="shared" si="2"/>
        <v>0</v>
      </c>
      <c r="BW22" s="6"/>
    </row>
    <row r="23" spans="1:75" hidden="1">
      <c r="A23" s="100"/>
      <c r="B23" s="17" t="s">
        <v>9</v>
      </c>
      <c r="E23" s="4"/>
      <c r="G23" s="4"/>
      <c r="I23" s="4"/>
      <c r="J23" s="5" t="s">
        <v>0</v>
      </c>
      <c r="L23" s="138" t="s">
        <v>202</v>
      </c>
      <c r="M23" s="6"/>
      <c r="N23" s="6">
        <v>0</v>
      </c>
      <c r="O23" s="6"/>
      <c r="P23" s="6">
        <v>0</v>
      </c>
      <c r="Q23" s="6"/>
      <c r="R23" s="6">
        <f t="shared" si="3"/>
        <v>0</v>
      </c>
      <c r="S23" s="6"/>
      <c r="T23" s="6">
        <v>0</v>
      </c>
      <c r="U23" s="6"/>
      <c r="V23" s="6">
        <v>0</v>
      </c>
      <c r="X23" s="6">
        <v>0</v>
      </c>
      <c r="Z23" s="6">
        <v>0</v>
      </c>
      <c r="AB23" s="6">
        <v>0</v>
      </c>
      <c r="AD23" s="6">
        <v>0</v>
      </c>
      <c r="AF23" s="6">
        <v>0</v>
      </c>
      <c r="AH23" s="6">
        <v>0</v>
      </c>
      <c r="AI23" s="4"/>
      <c r="AJ23" s="6">
        <v>0</v>
      </c>
      <c r="AL23" s="6">
        <v>0</v>
      </c>
      <c r="AN23" s="6">
        <v>0</v>
      </c>
      <c r="AP23" s="6">
        <v>0</v>
      </c>
      <c r="AR23" s="6">
        <v>0</v>
      </c>
      <c r="AT23" s="6">
        <v>0</v>
      </c>
      <c r="AV23" s="6">
        <v>0</v>
      </c>
      <c r="AX23" s="6">
        <v>0</v>
      </c>
      <c r="AZ23" s="6">
        <v>0</v>
      </c>
      <c r="BB23" s="6">
        <v>0</v>
      </c>
      <c r="BD23" s="6">
        <v>0</v>
      </c>
      <c r="BF23" s="6">
        <v>0</v>
      </c>
      <c r="BH23" s="6">
        <v>0</v>
      </c>
      <c r="BJ23" s="6">
        <v>0</v>
      </c>
      <c r="BL23" s="6">
        <v>0</v>
      </c>
      <c r="BN23" s="6">
        <f t="shared" si="4"/>
        <v>0</v>
      </c>
      <c r="BP23" s="6">
        <v>0</v>
      </c>
      <c r="BR23" s="6">
        <f t="shared" si="1"/>
        <v>0</v>
      </c>
      <c r="BT23" s="6">
        <f t="shared" si="0"/>
        <v>0</v>
      </c>
      <c r="BV23" s="6">
        <f t="shared" si="2"/>
        <v>0</v>
      </c>
      <c r="BW23" s="6"/>
    </row>
    <row r="24" spans="1:75" hidden="1">
      <c r="A24" s="100"/>
      <c r="B24" s="17" t="s">
        <v>10</v>
      </c>
      <c r="E24" s="4"/>
      <c r="G24" s="4"/>
      <c r="I24" s="4"/>
      <c r="J24" s="5" t="s">
        <v>0</v>
      </c>
      <c r="L24" s="138" t="s">
        <v>202</v>
      </c>
      <c r="M24" s="6"/>
      <c r="N24" s="6">
        <v>0</v>
      </c>
      <c r="O24" s="6"/>
      <c r="P24" s="6">
        <v>0</v>
      </c>
      <c r="Q24" s="6"/>
      <c r="R24" s="6">
        <f t="shared" si="3"/>
        <v>0</v>
      </c>
      <c r="S24" s="6"/>
      <c r="T24" s="6">
        <v>0</v>
      </c>
      <c r="U24" s="6"/>
      <c r="V24" s="6">
        <v>0</v>
      </c>
      <c r="X24" s="6">
        <v>0</v>
      </c>
      <c r="Z24" s="6">
        <v>0</v>
      </c>
      <c r="AB24" s="6">
        <v>0</v>
      </c>
      <c r="AD24" s="6">
        <v>0</v>
      </c>
      <c r="AF24" s="6">
        <v>0</v>
      </c>
      <c r="AH24" s="6">
        <v>0</v>
      </c>
      <c r="AI24" s="4"/>
      <c r="AJ24" s="6">
        <v>0</v>
      </c>
      <c r="AL24" s="6">
        <v>0</v>
      </c>
      <c r="AN24" s="6">
        <v>0</v>
      </c>
      <c r="AP24" s="6">
        <v>0</v>
      </c>
      <c r="AR24" s="6">
        <v>0</v>
      </c>
      <c r="AT24" s="6">
        <v>0</v>
      </c>
      <c r="AV24" s="6">
        <v>0</v>
      </c>
      <c r="AX24" s="6">
        <v>0</v>
      </c>
      <c r="AZ24" s="6">
        <v>0</v>
      </c>
      <c r="BB24" s="6">
        <v>0</v>
      </c>
      <c r="BD24" s="6">
        <v>0</v>
      </c>
      <c r="BF24" s="6">
        <v>0</v>
      </c>
      <c r="BH24" s="6">
        <v>0</v>
      </c>
      <c r="BJ24" s="6">
        <v>0</v>
      </c>
      <c r="BL24" s="6">
        <v>0</v>
      </c>
      <c r="BN24" s="6">
        <f t="shared" si="4"/>
        <v>0</v>
      </c>
      <c r="BP24" s="6">
        <v>0</v>
      </c>
      <c r="BR24" s="6">
        <f t="shared" si="1"/>
        <v>0</v>
      </c>
      <c r="BT24" s="6">
        <f t="shared" si="0"/>
        <v>0</v>
      </c>
      <c r="BV24" s="6">
        <f t="shared" si="2"/>
        <v>0</v>
      </c>
      <c r="BW24" s="6"/>
    </row>
    <row r="25" spans="1:75" hidden="1">
      <c r="A25" s="100"/>
      <c r="B25" s="17" t="s">
        <v>11</v>
      </c>
      <c r="E25" s="4"/>
      <c r="G25" s="4"/>
      <c r="I25" s="4"/>
      <c r="J25" s="5" t="s">
        <v>0</v>
      </c>
      <c r="L25" s="138" t="s">
        <v>202</v>
      </c>
      <c r="M25" s="6"/>
      <c r="N25" s="6">
        <v>0</v>
      </c>
      <c r="O25" s="6"/>
      <c r="P25" s="6">
        <v>0</v>
      </c>
      <c r="Q25" s="6"/>
      <c r="R25" s="6">
        <f t="shared" si="3"/>
        <v>0</v>
      </c>
      <c r="S25" s="6"/>
      <c r="T25" s="6">
        <v>0</v>
      </c>
      <c r="U25" s="6"/>
      <c r="V25" s="6">
        <v>0</v>
      </c>
      <c r="X25" s="6">
        <v>0</v>
      </c>
      <c r="Z25" s="6">
        <v>0</v>
      </c>
      <c r="AB25" s="6">
        <v>0</v>
      </c>
      <c r="AD25" s="6">
        <v>0</v>
      </c>
      <c r="AF25" s="6">
        <v>0</v>
      </c>
      <c r="AH25" s="6">
        <v>0</v>
      </c>
      <c r="AI25" s="4"/>
      <c r="AJ25" s="6">
        <v>0</v>
      </c>
      <c r="AL25" s="6">
        <v>0</v>
      </c>
      <c r="AN25" s="6">
        <v>0</v>
      </c>
      <c r="AP25" s="6">
        <v>0</v>
      </c>
      <c r="AR25" s="6">
        <v>0</v>
      </c>
      <c r="AT25" s="6">
        <v>0</v>
      </c>
      <c r="AV25" s="6">
        <v>0</v>
      </c>
      <c r="AX25" s="6">
        <v>0</v>
      </c>
      <c r="AZ25" s="6">
        <v>0</v>
      </c>
      <c r="BB25" s="6">
        <v>0</v>
      </c>
      <c r="BD25" s="6">
        <v>0</v>
      </c>
      <c r="BF25" s="6">
        <v>0</v>
      </c>
      <c r="BH25" s="6">
        <v>0</v>
      </c>
      <c r="BJ25" s="6">
        <v>0</v>
      </c>
      <c r="BL25" s="6">
        <v>0</v>
      </c>
      <c r="BN25" s="6">
        <f t="shared" si="4"/>
        <v>0</v>
      </c>
      <c r="BP25" s="6">
        <v>0</v>
      </c>
      <c r="BR25" s="6">
        <f t="shared" si="1"/>
        <v>0</v>
      </c>
      <c r="BT25" s="6">
        <f t="shared" si="0"/>
        <v>0</v>
      </c>
      <c r="BV25" s="6">
        <f t="shared" si="2"/>
        <v>0</v>
      </c>
      <c r="BW25" s="6"/>
    </row>
    <row r="26" spans="1:75" hidden="1">
      <c r="A26" s="281"/>
      <c r="B26" s="17" t="s">
        <v>12</v>
      </c>
      <c r="E26" s="4"/>
      <c r="G26" s="4"/>
      <c r="I26" s="4"/>
      <c r="J26" s="5" t="s">
        <v>0</v>
      </c>
      <c r="L26" s="138" t="s">
        <v>202</v>
      </c>
      <c r="M26" s="6"/>
      <c r="N26" s="6">
        <v>0</v>
      </c>
      <c r="O26" s="6"/>
      <c r="P26" s="6">
        <v>0</v>
      </c>
      <c r="Q26" s="6"/>
      <c r="R26" s="6">
        <f t="shared" si="3"/>
        <v>0</v>
      </c>
      <c r="S26" s="6"/>
      <c r="T26" s="6">
        <v>0</v>
      </c>
      <c r="U26" s="6"/>
      <c r="V26" s="6">
        <v>0</v>
      </c>
      <c r="X26" s="6">
        <v>0</v>
      </c>
      <c r="Z26" s="6">
        <v>0</v>
      </c>
      <c r="AB26" s="6">
        <v>0</v>
      </c>
      <c r="AD26" s="6">
        <v>0</v>
      </c>
      <c r="AF26" s="6">
        <v>0</v>
      </c>
      <c r="AH26" s="6">
        <v>0</v>
      </c>
      <c r="AI26" s="4"/>
      <c r="AJ26" s="6">
        <v>0</v>
      </c>
      <c r="AL26" s="6">
        <v>0</v>
      </c>
      <c r="AN26" s="6">
        <v>0</v>
      </c>
      <c r="AP26" s="6">
        <v>0</v>
      </c>
      <c r="AR26" s="6">
        <v>0</v>
      </c>
      <c r="AT26" s="6">
        <v>0</v>
      </c>
      <c r="AV26" s="6">
        <v>0</v>
      </c>
      <c r="AX26" s="6">
        <v>0</v>
      </c>
      <c r="AZ26" s="6">
        <v>0</v>
      </c>
      <c r="BB26" s="6">
        <v>0</v>
      </c>
      <c r="BD26" s="6">
        <v>0</v>
      </c>
      <c r="BF26" s="6">
        <v>0</v>
      </c>
      <c r="BH26" s="6">
        <v>0</v>
      </c>
      <c r="BJ26" s="6">
        <v>0</v>
      </c>
      <c r="BL26" s="6">
        <v>0</v>
      </c>
      <c r="BN26" s="6">
        <f t="shared" si="4"/>
        <v>0</v>
      </c>
      <c r="BP26" s="6">
        <v>0</v>
      </c>
      <c r="BR26" s="6">
        <f t="shared" si="1"/>
        <v>0</v>
      </c>
      <c r="BT26" s="6">
        <f t="shared" si="0"/>
        <v>0</v>
      </c>
      <c r="BV26" s="6">
        <f t="shared" si="2"/>
        <v>0</v>
      </c>
      <c r="BW26" s="6"/>
    </row>
    <row r="27" spans="1:75" hidden="1">
      <c r="A27" s="281"/>
      <c r="B27" s="17" t="s">
        <v>13</v>
      </c>
      <c r="E27" s="4"/>
      <c r="G27" s="4"/>
      <c r="I27" s="4"/>
      <c r="J27" s="5" t="s">
        <v>0</v>
      </c>
      <c r="L27" s="138" t="s">
        <v>202</v>
      </c>
      <c r="M27" s="6"/>
      <c r="N27" s="6">
        <v>0</v>
      </c>
      <c r="O27" s="6"/>
      <c r="P27" s="6">
        <v>0</v>
      </c>
      <c r="Q27" s="6"/>
      <c r="R27" s="6">
        <f t="shared" si="3"/>
        <v>0</v>
      </c>
      <c r="S27" s="6"/>
      <c r="T27" s="6">
        <v>0</v>
      </c>
      <c r="U27" s="6"/>
      <c r="V27" s="6">
        <v>0</v>
      </c>
      <c r="X27" s="6">
        <v>0</v>
      </c>
      <c r="Z27" s="6">
        <v>0</v>
      </c>
      <c r="AB27" s="6">
        <v>0</v>
      </c>
      <c r="AD27" s="6">
        <v>0</v>
      </c>
      <c r="AF27" s="6">
        <v>0</v>
      </c>
      <c r="AH27" s="6">
        <v>0</v>
      </c>
      <c r="AI27" s="4"/>
      <c r="AJ27" s="6">
        <v>0</v>
      </c>
      <c r="AL27" s="6">
        <v>0</v>
      </c>
      <c r="AN27" s="6">
        <v>0</v>
      </c>
      <c r="AP27" s="6">
        <v>0</v>
      </c>
      <c r="AR27" s="6">
        <v>0</v>
      </c>
      <c r="AT27" s="6">
        <v>0</v>
      </c>
      <c r="AV27" s="6">
        <v>0</v>
      </c>
      <c r="AX27" s="6">
        <v>0</v>
      </c>
      <c r="AZ27" s="6">
        <v>0</v>
      </c>
      <c r="BB27" s="6">
        <v>0</v>
      </c>
      <c r="BD27" s="6">
        <v>0</v>
      </c>
      <c r="BF27" s="6">
        <v>0</v>
      </c>
      <c r="BH27" s="6">
        <v>0</v>
      </c>
      <c r="BJ27" s="6">
        <v>0</v>
      </c>
      <c r="BL27" s="6">
        <v>0</v>
      </c>
      <c r="BN27" s="6">
        <f t="shared" si="4"/>
        <v>0</v>
      </c>
      <c r="BP27" s="6">
        <v>0</v>
      </c>
      <c r="BR27" s="6">
        <f t="shared" si="1"/>
        <v>0</v>
      </c>
      <c r="BT27" s="6">
        <f t="shared" si="0"/>
        <v>0</v>
      </c>
      <c r="BV27" s="6">
        <f t="shared" si="2"/>
        <v>0</v>
      </c>
      <c r="BW27" s="6"/>
    </row>
    <row r="28" spans="1:75" s="11" customFormat="1" hidden="1">
      <c r="A28" s="100"/>
      <c r="B28" s="17" t="s">
        <v>14</v>
      </c>
      <c r="J28" s="5" t="s">
        <v>0</v>
      </c>
      <c r="L28" s="138" t="s">
        <v>202</v>
      </c>
      <c r="M28" s="12"/>
      <c r="N28" s="12">
        <v>0</v>
      </c>
      <c r="O28" s="12"/>
      <c r="P28" s="12">
        <v>0</v>
      </c>
      <c r="Q28" s="12"/>
      <c r="R28" s="6">
        <f t="shared" si="3"/>
        <v>0</v>
      </c>
      <c r="S28" s="12"/>
      <c r="T28" s="12">
        <v>0</v>
      </c>
      <c r="U28" s="12"/>
      <c r="V28" s="12">
        <v>0</v>
      </c>
      <c r="W28" s="12"/>
      <c r="X28" s="12">
        <v>0</v>
      </c>
      <c r="Y28" s="12"/>
      <c r="Z28" s="12">
        <v>0</v>
      </c>
      <c r="AA28" s="12"/>
      <c r="AB28" s="12">
        <v>0</v>
      </c>
      <c r="AC28" s="12"/>
      <c r="AD28" s="12">
        <v>0</v>
      </c>
      <c r="AE28" s="12"/>
      <c r="AF28" s="12">
        <v>0</v>
      </c>
      <c r="AG28" s="12"/>
      <c r="AH28" s="12">
        <v>0</v>
      </c>
      <c r="AI28" s="4"/>
      <c r="AJ28" s="12">
        <v>0</v>
      </c>
      <c r="AK28" s="4"/>
      <c r="AL28" s="12">
        <v>0</v>
      </c>
      <c r="AM28" s="4"/>
      <c r="AN28" s="12">
        <v>0</v>
      </c>
      <c r="AO28" s="12"/>
      <c r="AP28" s="12">
        <v>0</v>
      </c>
      <c r="AQ28" s="12"/>
      <c r="AR28" s="12">
        <v>0</v>
      </c>
      <c r="AS28" s="12"/>
      <c r="AT28" s="12">
        <v>0</v>
      </c>
      <c r="AU28" s="12"/>
      <c r="AV28" s="12">
        <v>0</v>
      </c>
      <c r="AW28" s="12"/>
      <c r="AX28" s="12">
        <v>0</v>
      </c>
      <c r="AY28" s="12"/>
      <c r="AZ28" s="12">
        <v>0</v>
      </c>
      <c r="BA28" s="12"/>
      <c r="BB28" s="12">
        <v>0</v>
      </c>
      <c r="BC28" s="12"/>
      <c r="BD28" s="12">
        <v>0</v>
      </c>
      <c r="BE28" s="4"/>
      <c r="BF28" s="12">
        <v>0</v>
      </c>
      <c r="BG28" s="4"/>
      <c r="BH28" s="12">
        <v>0</v>
      </c>
      <c r="BI28" s="4"/>
      <c r="BJ28" s="12">
        <v>0</v>
      </c>
      <c r="BK28" s="4"/>
      <c r="BL28" s="12">
        <v>0</v>
      </c>
      <c r="BM28" s="4"/>
      <c r="BN28" s="12">
        <f t="shared" si="4"/>
        <v>0</v>
      </c>
      <c r="BO28" s="4"/>
      <c r="BP28" s="12">
        <v>0</v>
      </c>
      <c r="BQ28" s="4"/>
      <c r="BR28" s="6">
        <f t="shared" si="1"/>
        <v>0</v>
      </c>
      <c r="BS28" s="12"/>
      <c r="BT28" s="6">
        <f t="shared" si="0"/>
        <v>0</v>
      </c>
      <c r="BU28" s="12"/>
      <c r="BV28" s="6">
        <f t="shared" si="2"/>
        <v>0</v>
      </c>
      <c r="BW28" s="12"/>
    </row>
    <row r="29" spans="1:75">
      <c r="A29" s="100"/>
      <c r="B29" s="17" t="s">
        <v>121</v>
      </c>
      <c r="E29" s="4"/>
      <c r="G29" s="4"/>
      <c r="I29" s="4"/>
      <c r="J29" s="5" t="s">
        <v>0</v>
      </c>
      <c r="L29" s="138" t="s">
        <v>202</v>
      </c>
      <c r="M29" s="6"/>
      <c r="N29" s="12">
        <v>0</v>
      </c>
      <c r="O29" s="6"/>
      <c r="P29" s="12">
        <v>0</v>
      </c>
      <c r="Q29" s="6"/>
      <c r="R29" s="6">
        <v>0</v>
      </c>
      <c r="S29" s="6"/>
      <c r="T29" s="12">
        <v>0</v>
      </c>
      <c r="U29" s="12"/>
      <c r="V29" s="12">
        <v>0</v>
      </c>
      <c r="W29" s="12"/>
      <c r="X29" s="12">
        <v>0</v>
      </c>
      <c r="Y29" s="12"/>
      <c r="Z29" s="12">
        <v>0</v>
      </c>
      <c r="AA29" s="12"/>
      <c r="AB29" s="12">
        <v>0</v>
      </c>
      <c r="AC29" s="12"/>
      <c r="AD29" s="12"/>
      <c r="AE29" s="12"/>
      <c r="AF29" s="12">
        <v>0</v>
      </c>
      <c r="AG29" s="12"/>
      <c r="AH29" s="12">
        <v>0</v>
      </c>
      <c r="AI29" s="4"/>
      <c r="AJ29" s="12">
        <v>0</v>
      </c>
      <c r="AL29" s="12">
        <v>0</v>
      </c>
      <c r="AN29" s="12">
        <v>0</v>
      </c>
      <c r="AO29" s="12"/>
      <c r="AP29" s="12">
        <v>0</v>
      </c>
      <c r="AQ29" s="12"/>
      <c r="AR29" s="12">
        <v>0</v>
      </c>
      <c r="AS29" s="12"/>
      <c r="AT29" s="12">
        <v>0</v>
      </c>
      <c r="AU29" s="12"/>
      <c r="AV29" s="12">
        <v>0</v>
      </c>
      <c r="AW29" s="12"/>
      <c r="AX29" s="12">
        <v>0</v>
      </c>
      <c r="AY29" s="12"/>
      <c r="AZ29" s="12">
        <v>0</v>
      </c>
      <c r="BA29" s="12"/>
      <c r="BB29" s="12">
        <v>0</v>
      </c>
      <c r="BC29" s="12"/>
      <c r="BD29" s="12">
        <v>0</v>
      </c>
      <c r="BF29" s="12">
        <v>0</v>
      </c>
      <c r="BH29" s="12">
        <v>0</v>
      </c>
      <c r="BJ29" s="12">
        <v>0</v>
      </c>
      <c r="BL29" s="12">
        <v>0</v>
      </c>
      <c r="BN29" s="12">
        <f t="shared" si="4"/>
        <v>0</v>
      </c>
      <c r="BP29" s="12">
        <v>0</v>
      </c>
      <c r="BR29" s="6">
        <f t="shared" si="1"/>
        <v>0</v>
      </c>
      <c r="BT29" s="6">
        <f t="shared" si="0"/>
        <v>0</v>
      </c>
      <c r="BV29" s="6">
        <f t="shared" si="2"/>
        <v>0</v>
      </c>
      <c r="BW29" s="12"/>
    </row>
    <row r="30" spans="1:75">
      <c r="A30" s="100"/>
      <c r="B30" s="17"/>
      <c r="E30" s="4"/>
      <c r="G30" s="4"/>
      <c r="I30" s="4"/>
      <c r="L30" s="138"/>
      <c r="M30" s="6"/>
      <c r="N30" s="12"/>
      <c r="O30" s="6"/>
      <c r="P30" s="12"/>
      <c r="Q30" s="6"/>
      <c r="R30" s="12"/>
      <c r="S30" s="6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4"/>
      <c r="AJ30" s="12"/>
      <c r="AL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F30" s="12"/>
      <c r="BH30" s="12"/>
      <c r="BJ30" s="12"/>
      <c r="BL30" s="12"/>
      <c r="BN30" s="12"/>
      <c r="BP30" s="12"/>
      <c r="BR30" s="6">
        <f t="shared" si="1"/>
        <v>0</v>
      </c>
      <c r="BT30" s="6">
        <f t="shared" si="0"/>
        <v>0</v>
      </c>
      <c r="BV30" s="6">
        <f>+R30-BT30</f>
        <v>0</v>
      </c>
      <c r="BW30" s="12"/>
    </row>
    <row r="31" spans="1:75">
      <c r="A31" s="100"/>
      <c r="B31" s="17" t="s">
        <v>226</v>
      </c>
      <c r="E31" s="4"/>
      <c r="G31" s="4"/>
      <c r="I31" s="4"/>
      <c r="L31" s="138"/>
      <c r="M31" s="6"/>
      <c r="N31" s="101">
        <f>SUM(N14:N30)</f>
        <v>0</v>
      </c>
      <c r="O31" s="6"/>
      <c r="P31" s="101">
        <f>SUM(P14:P30)</f>
        <v>0</v>
      </c>
      <c r="Q31" s="6"/>
      <c r="R31" s="101">
        <f>SUM(R14:R30)</f>
        <v>5878600</v>
      </c>
      <c r="S31" s="6"/>
      <c r="T31" s="101">
        <f>SUM(T14:T30)</f>
        <v>0</v>
      </c>
      <c r="U31" s="12"/>
      <c r="V31" s="101">
        <f>SUM(V14:V30)</f>
        <v>1250000</v>
      </c>
      <c r="W31" s="12"/>
      <c r="X31" s="101">
        <f>SUM(X14:X30)</f>
        <v>0</v>
      </c>
      <c r="Y31" s="12"/>
      <c r="Z31" s="101">
        <f>SUM(Z14:Z30)</f>
        <v>0</v>
      </c>
      <c r="AA31" s="12"/>
      <c r="AB31" s="101">
        <f>SUM(AB14:AB30)</f>
        <v>0</v>
      </c>
      <c r="AC31" s="12"/>
      <c r="AD31" s="101">
        <f>SUM(AD14:AD30)</f>
        <v>0</v>
      </c>
      <c r="AE31" s="12"/>
      <c r="AF31" s="101">
        <f>SUM(AF14:AF30)</f>
        <v>0</v>
      </c>
      <c r="AG31" s="12"/>
      <c r="AH31" s="101">
        <f>SUM(AH14:AH30)</f>
        <v>-74270.400000000023</v>
      </c>
      <c r="AI31" s="4"/>
      <c r="AJ31" s="101">
        <f>SUM(AJ14:AJ30)</f>
        <v>7480</v>
      </c>
      <c r="AL31" s="101">
        <f>SUM(AL14:AL30)</f>
        <v>0</v>
      </c>
      <c r="AN31" s="101">
        <f>SUM(AN14:AN30)</f>
        <v>1774814.4</v>
      </c>
      <c r="AO31" s="12"/>
      <c r="AP31" s="101">
        <f>SUM(AP14:AP30)</f>
        <v>0</v>
      </c>
      <c r="AQ31" s="12"/>
      <c r="AR31" s="101">
        <f>SUM(AR14:AR30)</f>
        <v>1774814.4</v>
      </c>
      <c r="AS31" s="12"/>
      <c r="AT31" s="101">
        <f>SUM(AT14:AT30)</f>
        <v>591604.80000000005</v>
      </c>
      <c r="AU31" s="12"/>
      <c r="AV31" s="101">
        <f>SUM(AV14:AV30)</f>
        <v>0</v>
      </c>
      <c r="AW31" s="12"/>
      <c r="AX31" s="101">
        <f>SUM(AX14:AX30)</f>
        <v>0</v>
      </c>
      <c r="AY31" s="12"/>
      <c r="AZ31" s="101">
        <f>SUM(AZ14:AZ30)</f>
        <v>427250</v>
      </c>
      <c r="BA31" s="12"/>
      <c r="BB31" s="101">
        <f>SUM(BB14:BB30)</f>
        <v>590954.80000000005</v>
      </c>
      <c r="BC31" s="12"/>
      <c r="BD31" s="101">
        <f>SUM(BD14:BD30)</f>
        <v>0</v>
      </c>
      <c r="BF31" s="101">
        <f>SUM(BF14:BF30)</f>
        <v>0</v>
      </c>
      <c r="BH31" s="101">
        <f>SUM(BH14:BH30)</f>
        <v>0</v>
      </c>
      <c r="BJ31" s="101">
        <f>SUM(BJ14:BJ30)</f>
        <v>0</v>
      </c>
      <c r="BL31" s="101">
        <f>SUM(BL14:BL30)</f>
        <v>0</v>
      </c>
      <c r="BN31" s="101">
        <f>SUM(BN14:BN30)</f>
        <v>6342648</v>
      </c>
      <c r="BP31" s="101">
        <f>SUM(BP14:BP30)</f>
        <v>464698</v>
      </c>
      <c r="BR31" s="101">
        <f>SUM(BR14:BR30)</f>
        <v>650</v>
      </c>
      <c r="BT31" s="101">
        <f>SUM(BT14:BT30)</f>
        <v>6343298</v>
      </c>
      <c r="BV31" s="101">
        <f>SUM(BV14:BV30)</f>
        <v>-464698</v>
      </c>
      <c r="BW31" s="12"/>
    </row>
    <row r="32" spans="1:75">
      <c r="A32" s="100"/>
      <c r="B32" s="17"/>
      <c r="E32" s="4"/>
      <c r="G32" s="4"/>
      <c r="I32" s="4"/>
      <c r="L32" s="138"/>
      <c r="M32" s="6"/>
      <c r="N32" s="12"/>
      <c r="O32" s="6"/>
      <c r="P32" s="12"/>
      <c r="Q32" s="6"/>
      <c r="R32" s="12"/>
      <c r="S32" s="6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4"/>
      <c r="AJ32" s="12"/>
      <c r="AL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F32" s="12"/>
      <c r="BH32" s="12"/>
      <c r="BJ32" s="12"/>
      <c r="BL32" s="12"/>
      <c r="BN32" s="12"/>
      <c r="BP32" s="12"/>
      <c r="BR32" s="12"/>
      <c r="BT32" s="12"/>
      <c r="BV32" s="12"/>
      <c r="BW32" s="12"/>
    </row>
    <row r="33" spans="1:75" s="114" customFormat="1">
      <c r="A33" s="282"/>
      <c r="B33" s="113" t="s">
        <v>15</v>
      </c>
      <c r="J33" s="154"/>
      <c r="L33" s="140"/>
      <c r="M33" s="115"/>
      <c r="N33" s="115">
        <f>+N31+N12</f>
        <v>93330000</v>
      </c>
      <c r="O33" s="115"/>
      <c r="P33" s="115">
        <f>+P31+P12</f>
        <v>0</v>
      </c>
      <c r="Q33" s="115"/>
      <c r="R33" s="115">
        <f>+R31+R12</f>
        <v>146111540</v>
      </c>
      <c r="S33" s="115"/>
      <c r="T33" s="115">
        <f>+T31+T12</f>
        <v>6800000</v>
      </c>
      <c r="U33" s="115"/>
      <c r="V33" s="115">
        <f>+V31+V12</f>
        <v>1250000</v>
      </c>
      <c r="W33" s="115"/>
      <c r="X33" s="115">
        <f>+X31+X12</f>
        <v>32884800</v>
      </c>
      <c r="Y33" s="115"/>
      <c r="Z33" s="115">
        <f>+Z31+Z12</f>
        <v>0</v>
      </c>
      <c r="AA33" s="115"/>
      <c r="AB33" s="115">
        <f>+AB31+AB12</f>
        <v>0</v>
      </c>
      <c r="AC33" s="115"/>
      <c r="AD33" s="115">
        <f>+AD31+AD12</f>
        <v>18310527</v>
      </c>
      <c r="AE33" s="115"/>
      <c r="AF33" s="115">
        <f>+AF31+AF12</f>
        <v>6800000</v>
      </c>
      <c r="AG33" s="115"/>
      <c r="AH33" s="115">
        <f>+AH31+AH12</f>
        <v>5150873.04</v>
      </c>
      <c r="AI33" s="4"/>
      <c r="AJ33" s="115">
        <f>+AJ31+AJ12</f>
        <v>6160327</v>
      </c>
      <c r="AK33" s="4"/>
      <c r="AL33" s="115">
        <f>+AL31+AL12</f>
        <v>6924847</v>
      </c>
      <c r="AM33" s="4"/>
      <c r="AN33" s="115">
        <f>+AN31+AN12</f>
        <v>8699661.4000000004</v>
      </c>
      <c r="AO33" s="115"/>
      <c r="AP33" s="115">
        <f>+AP31+AP12</f>
        <v>6924847</v>
      </c>
      <c r="AQ33" s="115"/>
      <c r="AR33" s="115">
        <f>+AR31+AR12</f>
        <v>26462958.029999997</v>
      </c>
      <c r="AS33" s="115"/>
      <c r="AT33" s="115">
        <f>+AT31+AT12</f>
        <v>591604.80000000005</v>
      </c>
      <c r="AU33" s="115"/>
      <c r="AV33" s="115">
        <f>+AV31+AV12</f>
        <v>13325691.369999999</v>
      </c>
      <c r="AW33" s="115"/>
      <c r="AX33" s="115">
        <f>+AX31+AX12</f>
        <v>7103247</v>
      </c>
      <c r="AY33" s="115"/>
      <c r="AZ33" s="115">
        <f>+AZ31+AZ12</f>
        <v>427250</v>
      </c>
      <c r="BA33" s="115"/>
      <c r="BB33" s="115">
        <f>+BB31+BB12</f>
        <v>590954.80000000005</v>
      </c>
      <c r="BC33" s="115"/>
      <c r="BD33" s="115">
        <f>+BD31+BD12</f>
        <v>0</v>
      </c>
      <c r="BE33" s="4"/>
      <c r="BF33" s="115">
        <f>+BF31+BF12</f>
        <v>0</v>
      </c>
      <c r="BG33" s="4"/>
      <c r="BH33" s="115">
        <f>+BH31+BH12</f>
        <v>0</v>
      </c>
      <c r="BI33" s="4"/>
      <c r="BJ33" s="115">
        <f>+BJ31+BJ12</f>
        <v>0</v>
      </c>
      <c r="BK33" s="4"/>
      <c r="BL33" s="115">
        <f>+BL31+BL12</f>
        <v>0</v>
      </c>
      <c r="BM33" s="4"/>
      <c r="BN33" s="115">
        <f>+BN31+BN12</f>
        <v>148407588.44</v>
      </c>
      <c r="BO33" s="4"/>
      <c r="BP33" s="115">
        <f>+BP31+BP12</f>
        <v>2104698</v>
      </c>
      <c r="BQ33" s="4"/>
      <c r="BR33" s="115">
        <f>+BR31+BR12</f>
        <v>650</v>
      </c>
      <c r="BS33" s="115"/>
      <c r="BT33" s="115">
        <f>+BT31+BT12</f>
        <v>148408238.44</v>
      </c>
      <c r="BU33" s="115"/>
      <c r="BV33" s="115">
        <f>+BV31+BV12</f>
        <v>-2296698.4399999976</v>
      </c>
      <c r="BW33" s="115"/>
    </row>
    <row r="34" spans="1:75">
      <c r="A34" s="100"/>
      <c r="B34" s="79"/>
      <c r="E34" s="4"/>
      <c r="G34" s="4"/>
      <c r="I34" s="4"/>
      <c r="L34" s="138"/>
      <c r="M34" s="6"/>
      <c r="O34" s="6"/>
      <c r="Q34" s="6"/>
      <c r="S34" s="6"/>
      <c r="T34" s="6"/>
      <c r="U34" s="6"/>
      <c r="V34" s="6"/>
      <c r="X34" s="6"/>
      <c r="Z34" s="6"/>
      <c r="AB34" s="6"/>
      <c r="AD34" s="6"/>
      <c r="AI34" s="4"/>
      <c r="BJ34" s="6"/>
      <c r="BL34" s="6"/>
      <c r="BP34" s="6"/>
      <c r="BW34" s="6"/>
    </row>
    <row r="35" spans="1:75">
      <c r="A35" s="100"/>
      <c r="B35" s="17"/>
      <c r="E35" s="4"/>
      <c r="G35" s="4"/>
      <c r="I35" s="4"/>
      <c r="L35" s="138"/>
      <c r="M35" s="6"/>
      <c r="O35" s="6"/>
      <c r="Q35" s="6"/>
      <c r="S35" s="6"/>
      <c r="T35" s="6"/>
      <c r="U35" s="6"/>
      <c r="V35" s="6"/>
      <c r="X35" s="6"/>
      <c r="Z35" s="6"/>
      <c r="AB35" s="6"/>
      <c r="AD35" s="6"/>
      <c r="AI35" s="4"/>
      <c r="BJ35" s="6"/>
      <c r="BL35" s="6"/>
      <c r="BP35" s="6"/>
      <c r="BW35" s="6"/>
    </row>
    <row r="36" spans="1:75">
      <c r="A36" s="58" t="s">
        <v>234</v>
      </c>
      <c r="B36" s="17"/>
      <c r="E36" s="4"/>
      <c r="G36" s="4"/>
      <c r="I36" s="4"/>
      <c r="L36" s="138"/>
      <c r="M36" s="6"/>
      <c r="O36" s="6"/>
      <c r="Q36" s="6"/>
      <c r="S36" s="6"/>
      <c r="T36" s="6"/>
      <c r="U36" s="6"/>
      <c r="V36" s="6"/>
      <c r="X36" s="6"/>
      <c r="Z36" s="6"/>
      <c r="AB36" s="6"/>
      <c r="AD36" s="6"/>
      <c r="AI36" s="4"/>
      <c r="BJ36" s="6"/>
      <c r="BL36" s="6"/>
      <c r="BP36" s="6"/>
      <c r="BW36" s="6"/>
    </row>
    <row r="37" spans="1:75">
      <c r="A37" s="100"/>
      <c r="B37" s="17"/>
      <c r="E37" s="4"/>
      <c r="G37" s="4"/>
      <c r="I37" s="4"/>
      <c r="L37" s="138"/>
      <c r="M37" s="6"/>
      <c r="O37" s="6"/>
      <c r="Q37" s="6"/>
      <c r="S37" s="6"/>
      <c r="T37" s="6">
        <v>0</v>
      </c>
      <c r="U37" s="6"/>
      <c r="V37" s="6">
        <v>0</v>
      </c>
      <c r="X37" s="6">
        <v>0</v>
      </c>
      <c r="Z37" s="6">
        <v>0</v>
      </c>
      <c r="AB37" s="6">
        <v>0</v>
      </c>
      <c r="AD37" s="6">
        <v>0</v>
      </c>
      <c r="AF37" s="6">
        <v>0</v>
      </c>
      <c r="AH37" s="6">
        <v>0</v>
      </c>
      <c r="AI37" s="4"/>
      <c r="AJ37" s="6">
        <v>0</v>
      </c>
      <c r="AL37" s="6">
        <v>0</v>
      </c>
      <c r="AN37" s="6">
        <v>0</v>
      </c>
      <c r="AP37" s="6">
        <v>0</v>
      </c>
      <c r="AR37" s="6">
        <v>0</v>
      </c>
      <c r="AT37" s="6">
        <v>0</v>
      </c>
      <c r="AV37" s="6">
        <v>0</v>
      </c>
      <c r="AX37" s="6">
        <v>0</v>
      </c>
      <c r="AZ37" s="6">
        <v>0</v>
      </c>
      <c r="BB37" s="6">
        <v>0</v>
      </c>
      <c r="BD37" s="6">
        <v>0</v>
      </c>
      <c r="BF37" s="6">
        <v>0</v>
      </c>
      <c r="BH37" s="6">
        <v>0</v>
      </c>
      <c r="BJ37" s="6">
        <v>0</v>
      </c>
      <c r="BL37" s="6">
        <v>0</v>
      </c>
      <c r="BP37" s="6"/>
      <c r="BW37" s="6"/>
    </row>
    <row r="38" spans="1:75">
      <c r="A38" s="100"/>
      <c r="B38" s="31" t="s">
        <v>295</v>
      </c>
      <c r="E38" s="4"/>
      <c r="G38" s="4"/>
      <c r="I38" s="4"/>
      <c r="L38" s="138"/>
      <c r="M38" s="6"/>
      <c r="O38" s="6"/>
      <c r="Q38" s="6"/>
      <c r="S38" s="6"/>
      <c r="T38" s="6"/>
      <c r="U38" s="6"/>
      <c r="V38" s="6"/>
      <c r="X38" s="6"/>
      <c r="Z38" s="6"/>
      <c r="AB38" s="6"/>
      <c r="AD38" s="6"/>
      <c r="AI38" s="4"/>
      <c r="BJ38" s="6"/>
      <c r="BL38" s="6"/>
      <c r="BP38" s="6"/>
      <c r="BW38" s="6"/>
    </row>
    <row r="39" spans="1:75">
      <c r="A39" s="100"/>
      <c r="B39" s="229" t="s">
        <v>293</v>
      </c>
      <c r="E39" s="4"/>
      <c r="G39" s="4"/>
      <c r="I39" s="4"/>
      <c r="J39" s="5" t="s">
        <v>229</v>
      </c>
      <c r="L39" s="138" t="s">
        <v>202</v>
      </c>
      <c r="M39" s="6"/>
      <c r="O39" s="6"/>
      <c r="Q39" s="6"/>
      <c r="R39" s="288">
        <v>1538965</v>
      </c>
      <c r="S39" s="6"/>
      <c r="T39" s="6"/>
      <c r="U39" s="6"/>
      <c r="V39" s="6"/>
      <c r="X39" s="6"/>
      <c r="Z39" s="6"/>
      <c r="AB39" s="6"/>
      <c r="AD39" s="6"/>
      <c r="AI39" s="4"/>
      <c r="AP39" s="6">
        <v>11510</v>
      </c>
      <c r="AR39" s="6">
        <f>54708-11510</f>
        <v>43198</v>
      </c>
      <c r="AT39" s="6">
        <f>303957-54708+123679</f>
        <v>372928</v>
      </c>
      <c r="AX39" s="6">
        <f>308820-123679</f>
        <v>185141</v>
      </c>
      <c r="BD39" s="6">
        <f>4403017-612777</f>
        <v>3790240</v>
      </c>
      <c r="BF39" s="6">
        <f>5049977-4403017</f>
        <v>646960</v>
      </c>
      <c r="BJ39" s="6">
        <f>5107000-5049977</f>
        <v>57023</v>
      </c>
      <c r="BL39" s="6"/>
      <c r="BN39" s="6">
        <f t="shared" ref="BN39:BN45" si="5">SUM(T39:BM39)</f>
        <v>5107000</v>
      </c>
      <c r="BP39" s="6">
        <f>5112000-R39</f>
        <v>3573035</v>
      </c>
      <c r="BR39" s="6">
        <f t="shared" ref="BR39:BR45" si="6">IF(+R39-BN39+BP39&gt;0,R39-BN39+BP39,0)</f>
        <v>5000</v>
      </c>
      <c r="BT39" s="6">
        <f t="shared" ref="BT39:BT45" si="7">+BN39+BR39</f>
        <v>5112000</v>
      </c>
      <c r="BV39" s="6">
        <f>+R39-BT39</f>
        <v>-3573035</v>
      </c>
      <c r="BW39" s="6"/>
    </row>
    <row r="40" spans="1:75">
      <c r="A40" s="100"/>
      <c r="B40" s="229" t="s">
        <v>382</v>
      </c>
      <c r="E40" s="4"/>
      <c r="G40" s="4"/>
      <c r="I40" s="4"/>
      <c r="J40" s="5" t="s">
        <v>229</v>
      </c>
      <c r="L40" s="138" t="s">
        <v>202</v>
      </c>
      <c r="M40" s="6"/>
      <c r="O40" s="6"/>
      <c r="Q40" s="6"/>
      <c r="R40" s="288">
        <v>1717382</v>
      </c>
      <c r="S40" s="6"/>
      <c r="T40" s="6"/>
      <c r="U40" s="6"/>
      <c r="V40" s="6"/>
      <c r="X40" s="6"/>
      <c r="Z40" s="6"/>
      <c r="AB40" s="6"/>
      <c r="AD40" s="6"/>
      <c r="AI40" s="4"/>
      <c r="AP40" s="6">
        <f>87721+37545</f>
        <v>125266</v>
      </c>
      <c r="AR40" s="6">
        <f>175242-87721+3444</f>
        <v>90965</v>
      </c>
      <c r="AT40" s="6">
        <f>601600-175242+14099</f>
        <v>440457</v>
      </c>
      <c r="AX40" s="6">
        <f>1413373-656688</f>
        <v>756685</v>
      </c>
      <c r="BD40" s="6">
        <f>4049893-1413373</f>
        <v>2636520</v>
      </c>
      <c r="BF40" s="6">
        <f>4206988-4049893</f>
        <v>157095</v>
      </c>
      <c r="BJ40" s="6">
        <f>4266000-4206988</f>
        <v>59012</v>
      </c>
      <c r="BL40" s="6"/>
      <c r="BN40" s="6">
        <f t="shared" si="5"/>
        <v>4266000</v>
      </c>
      <c r="BP40" s="6">
        <f>4269000-R40</f>
        <v>2551618</v>
      </c>
      <c r="BR40" s="6">
        <f t="shared" si="6"/>
        <v>3000</v>
      </c>
      <c r="BT40" s="6">
        <f t="shared" si="7"/>
        <v>4269000</v>
      </c>
      <c r="BV40" s="6">
        <f t="shared" ref="BV40:BV45" si="8">+R40-BT40</f>
        <v>-2551618</v>
      </c>
      <c r="BW40" s="6"/>
    </row>
    <row r="41" spans="1:75">
      <c r="A41" s="100"/>
      <c r="B41" s="229" t="s">
        <v>383</v>
      </c>
      <c r="E41" s="4"/>
      <c r="G41" s="4"/>
      <c r="I41" s="4"/>
      <c r="J41" s="5" t="s">
        <v>229</v>
      </c>
      <c r="L41" s="138" t="s">
        <v>202</v>
      </c>
      <c r="M41" s="6"/>
      <c r="O41" s="6"/>
      <c r="Q41" s="6"/>
      <c r="R41" s="288">
        <v>14562379</v>
      </c>
      <c r="S41" s="6"/>
      <c r="T41" s="6"/>
      <c r="U41" s="6"/>
      <c r="V41" s="6"/>
      <c r="X41" s="6"/>
      <c r="Z41" s="6"/>
      <c r="AB41" s="6"/>
      <c r="AD41" s="6"/>
      <c r="AI41" s="4"/>
      <c r="AP41" s="6">
        <f>261+21574+247412+128235+27859+107400</f>
        <v>532741</v>
      </c>
      <c r="AR41" s="6">
        <f>227731-261+36207+20085+63844+7268+4264</f>
        <v>359138</v>
      </c>
      <c r="AT41" s="6">
        <f>814449-227731+31652+83503+44893+81985+5914</f>
        <v>834665</v>
      </c>
      <c r="AX41" s="6">
        <f>1663132-1726544</f>
        <v>-63412</v>
      </c>
      <c r="BD41" s="6">
        <f>4196537-1663132</f>
        <v>2533405</v>
      </c>
      <c r="BF41" s="6">
        <f>4466169-4196537</f>
        <v>269632</v>
      </c>
      <c r="BJ41" s="6">
        <f>4654000-4466169</f>
        <v>187831</v>
      </c>
      <c r="BL41" s="6"/>
      <c r="BN41" s="6">
        <f t="shared" si="5"/>
        <v>4654000</v>
      </c>
      <c r="BP41" s="6">
        <f>4707000-R41</f>
        <v>-9855379</v>
      </c>
      <c r="BR41" s="6">
        <f t="shared" si="6"/>
        <v>53000</v>
      </c>
      <c r="BT41" s="6">
        <f t="shared" si="7"/>
        <v>4707000</v>
      </c>
      <c r="BV41" s="6">
        <f t="shared" si="8"/>
        <v>9855379</v>
      </c>
      <c r="BW41" s="6"/>
    </row>
    <row r="42" spans="1:75">
      <c r="A42" s="100"/>
      <c r="B42" s="229" t="s">
        <v>22</v>
      </c>
      <c r="E42" s="4"/>
      <c r="G42" s="4"/>
      <c r="I42" s="4"/>
      <c r="J42" s="5" t="s">
        <v>229</v>
      </c>
      <c r="L42" s="138" t="s">
        <v>202</v>
      </c>
      <c r="M42" s="6"/>
      <c r="N42" s="6">
        <v>0</v>
      </c>
      <c r="O42" s="6"/>
      <c r="P42" s="6">
        <v>0</v>
      </c>
      <c r="Q42" s="6"/>
      <c r="R42" s="288">
        <f>542913-164225</f>
        <v>378688</v>
      </c>
      <c r="S42" s="6"/>
      <c r="T42" s="6">
        <v>0</v>
      </c>
      <c r="U42" s="6"/>
      <c r="V42" s="6">
        <v>0</v>
      </c>
      <c r="X42" s="6">
        <v>0</v>
      </c>
      <c r="Z42" s="6">
        <v>0</v>
      </c>
      <c r="AB42" s="6">
        <v>0</v>
      </c>
      <c r="AD42" s="6">
        <v>0</v>
      </c>
      <c r="AF42" s="6">
        <v>0</v>
      </c>
      <c r="AH42" s="6">
        <v>0</v>
      </c>
      <c r="AI42" s="4"/>
      <c r="AJ42" s="6">
        <v>0</v>
      </c>
      <c r="AL42" s="6">
        <v>0</v>
      </c>
      <c r="AP42" s="6">
        <f>192524</f>
        <v>192524</v>
      </c>
      <c r="AR42" s="6">
        <f>268032-192524</f>
        <v>75508</v>
      </c>
      <c r="AT42" s="6">
        <f>344773-268032</f>
        <v>76741</v>
      </c>
      <c r="AV42" s="6">
        <v>0</v>
      </c>
      <c r="AX42" s="6">
        <f>631966-344773</f>
        <v>287193</v>
      </c>
      <c r="AZ42" s="6">
        <v>0</v>
      </c>
      <c r="BB42" s="6">
        <v>0</v>
      </c>
      <c r="BD42" s="6">
        <f>1097978-631966</f>
        <v>466012</v>
      </c>
      <c r="BF42" s="6">
        <f>1174200-1097978</f>
        <v>76222</v>
      </c>
      <c r="BH42" s="6">
        <v>0</v>
      </c>
      <c r="BJ42" s="6">
        <f>1192000-1174200</f>
        <v>17800</v>
      </c>
      <c r="BL42" s="6"/>
      <c r="BN42" s="6">
        <f t="shared" si="5"/>
        <v>1192000</v>
      </c>
      <c r="BP42" s="6">
        <f>1194000-R42</f>
        <v>815312</v>
      </c>
      <c r="BR42" s="6">
        <f t="shared" si="6"/>
        <v>2000</v>
      </c>
      <c r="BT42" s="6">
        <f t="shared" si="7"/>
        <v>1194000</v>
      </c>
      <c r="BV42" s="6">
        <f t="shared" si="8"/>
        <v>-815312</v>
      </c>
      <c r="BW42" s="6"/>
    </row>
    <row r="43" spans="1:75">
      <c r="A43" s="100"/>
      <c r="B43" s="229" t="s">
        <v>364</v>
      </c>
      <c r="E43" s="4"/>
      <c r="G43" s="4"/>
      <c r="I43" s="4"/>
      <c r="J43" s="5" t="s">
        <v>229</v>
      </c>
      <c r="L43" s="138" t="s">
        <v>202</v>
      </c>
      <c r="M43" s="6"/>
      <c r="N43" s="6">
        <v>0</v>
      </c>
      <c r="O43" s="6"/>
      <c r="P43" s="6">
        <v>0</v>
      </c>
      <c r="Q43" s="6"/>
      <c r="R43" s="288">
        <v>150000</v>
      </c>
      <c r="S43" s="6"/>
      <c r="T43" s="6">
        <v>0</v>
      </c>
      <c r="U43" s="6"/>
      <c r="V43" s="6">
        <v>0</v>
      </c>
      <c r="X43" s="6">
        <v>0</v>
      </c>
      <c r="Z43" s="6">
        <v>0</v>
      </c>
      <c r="AB43" s="6">
        <v>0</v>
      </c>
      <c r="AD43" s="6">
        <v>0</v>
      </c>
      <c r="AF43" s="6">
        <v>0</v>
      </c>
      <c r="AH43" s="6">
        <v>0</v>
      </c>
      <c r="AI43" s="4"/>
      <c r="AJ43" s="6">
        <v>0</v>
      </c>
      <c r="AL43" s="6">
        <v>0</v>
      </c>
      <c r="AP43" s="6">
        <v>47</v>
      </c>
      <c r="AR43" s="6">
        <f>67927-47</f>
        <v>67880</v>
      </c>
      <c r="AT43" s="6">
        <f>70698-67927</f>
        <v>2771</v>
      </c>
      <c r="AV43" s="6">
        <v>0</v>
      </c>
      <c r="AX43" s="6">
        <f>34086-70698+1</f>
        <v>-36611</v>
      </c>
      <c r="AZ43" s="6">
        <v>0</v>
      </c>
      <c r="BB43" s="6">
        <v>0</v>
      </c>
      <c r="BD43" s="6">
        <f>62870-34087</f>
        <v>28783</v>
      </c>
      <c r="BF43" s="6">
        <v>0</v>
      </c>
      <c r="BH43" s="6">
        <v>0</v>
      </c>
      <c r="BJ43" s="6">
        <f>69000-62870</f>
        <v>6130</v>
      </c>
      <c r="BL43" s="6"/>
      <c r="BN43" s="6">
        <f t="shared" si="5"/>
        <v>69000</v>
      </c>
      <c r="BP43" s="6">
        <f>70000-R43</f>
        <v>-80000</v>
      </c>
      <c r="BR43" s="6">
        <f t="shared" si="6"/>
        <v>1000</v>
      </c>
      <c r="BT43" s="6">
        <f t="shared" si="7"/>
        <v>70000</v>
      </c>
      <c r="BV43" s="6">
        <f t="shared" si="8"/>
        <v>80000</v>
      </c>
      <c r="BW43" s="6"/>
    </row>
    <row r="44" spans="1:75">
      <c r="A44" s="100"/>
      <c r="B44" s="229" t="s">
        <v>190</v>
      </c>
      <c r="E44" s="4"/>
      <c r="G44" s="4"/>
      <c r="I44" s="4"/>
      <c r="J44" s="5" t="s">
        <v>229</v>
      </c>
      <c r="L44" s="138" t="s">
        <v>202</v>
      </c>
      <c r="M44" s="6"/>
      <c r="N44" s="6">
        <v>0</v>
      </c>
      <c r="O44" s="6"/>
      <c r="P44" s="6">
        <v>0</v>
      </c>
      <c r="Q44" s="6"/>
      <c r="R44" s="288">
        <v>104121</v>
      </c>
      <c r="S44" s="6"/>
      <c r="T44" s="6">
        <v>0</v>
      </c>
      <c r="U44" s="6"/>
      <c r="V44" s="6">
        <v>0</v>
      </c>
      <c r="X44" s="6">
        <v>0</v>
      </c>
      <c r="Z44" s="6">
        <v>0</v>
      </c>
      <c r="AB44" s="6">
        <v>0</v>
      </c>
      <c r="AD44" s="6">
        <v>0</v>
      </c>
      <c r="AF44" s="6">
        <v>0</v>
      </c>
      <c r="AH44" s="6">
        <v>0</v>
      </c>
      <c r="AI44" s="4"/>
      <c r="AJ44" s="6">
        <v>0</v>
      </c>
      <c r="AL44" s="6">
        <v>0</v>
      </c>
      <c r="AN44" s="6">
        <v>0</v>
      </c>
      <c r="AP44" s="6">
        <v>0</v>
      </c>
      <c r="AR44" s="6">
        <v>0</v>
      </c>
      <c r="AT44" s="6">
        <v>0</v>
      </c>
      <c r="AV44" s="6">
        <v>0</v>
      </c>
      <c r="AX44" s="6">
        <v>0</v>
      </c>
      <c r="AZ44" s="6">
        <v>0</v>
      </c>
      <c r="BB44" s="6">
        <v>0</v>
      </c>
      <c r="BD44" s="6">
        <v>0</v>
      </c>
      <c r="BF44" s="6">
        <v>0</v>
      </c>
      <c r="BH44" s="6">
        <v>0</v>
      </c>
      <c r="BJ44" s="6">
        <v>0</v>
      </c>
      <c r="BL44" s="6"/>
      <c r="BN44" s="6">
        <f t="shared" si="5"/>
        <v>0</v>
      </c>
      <c r="BP44" s="6">
        <f>100000-104121</f>
        <v>-4121</v>
      </c>
      <c r="BR44" s="6">
        <f t="shared" si="6"/>
        <v>100000</v>
      </c>
      <c r="BT44" s="6">
        <f t="shared" si="7"/>
        <v>100000</v>
      </c>
      <c r="BV44" s="6">
        <f t="shared" si="8"/>
        <v>4121</v>
      </c>
      <c r="BW44" s="6"/>
    </row>
    <row r="45" spans="1:75">
      <c r="A45" s="100"/>
      <c r="B45" s="229" t="s">
        <v>294</v>
      </c>
      <c r="E45" s="4"/>
      <c r="G45" s="4"/>
      <c r="I45" s="4"/>
      <c r="L45" s="138" t="s">
        <v>202</v>
      </c>
      <c r="M45" s="6"/>
      <c r="N45" s="6">
        <v>0</v>
      </c>
      <c r="O45" s="6"/>
      <c r="P45" s="6">
        <v>0</v>
      </c>
      <c r="Q45" s="6"/>
      <c r="R45" s="288">
        <v>164225</v>
      </c>
      <c r="S45" s="6"/>
      <c r="T45" s="6">
        <v>0</v>
      </c>
      <c r="U45" s="6"/>
      <c r="V45" s="6">
        <v>0</v>
      </c>
      <c r="X45" s="6">
        <v>0</v>
      </c>
      <c r="Z45" s="6">
        <v>0</v>
      </c>
      <c r="AB45" s="6">
        <v>0</v>
      </c>
      <c r="AD45" s="6">
        <v>0</v>
      </c>
      <c r="AF45" s="6">
        <v>0</v>
      </c>
      <c r="AH45" s="6">
        <v>0</v>
      </c>
      <c r="AI45" s="4"/>
      <c r="AJ45" s="6">
        <v>0</v>
      </c>
      <c r="AL45" s="6">
        <v>0</v>
      </c>
      <c r="AN45" s="6">
        <v>0</v>
      </c>
      <c r="AR45" s="6">
        <v>0</v>
      </c>
      <c r="AT45" s="6">
        <v>0</v>
      </c>
      <c r="AV45" s="6">
        <v>0</v>
      </c>
      <c r="AX45" s="6">
        <v>0</v>
      </c>
      <c r="AZ45" s="6">
        <v>0</v>
      </c>
      <c r="BB45" s="6">
        <v>0</v>
      </c>
      <c r="BD45" s="6">
        <v>0</v>
      </c>
      <c r="BF45" s="6">
        <v>147037</v>
      </c>
      <c r="BH45" s="6">
        <v>0</v>
      </c>
      <c r="BJ45" s="6">
        <v>0</v>
      </c>
      <c r="BL45" s="6">
        <v>0</v>
      </c>
      <c r="BN45" s="6">
        <f t="shared" si="5"/>
        <v>147037</v>
      </c>
      <c r="BP45" s="6">
        <f>623000-R45</f>
        <v>458775</v>
      </c>
      <c r="BR45" s="6">
        <f t="shared" si="6"/>
        <v>475963</v>
      </c>
      <c r="BT45" s="6">
        <f t="shared" si="7"/>
        <v>623000</v>
      </c>
      <c r="BV45" s="6">
        <f t="shared" si="8"/>
        <v>-458775</v>
      </c>
      <c r="BW45" s="6"/>
    </row>
    <row r="46" spans="1:75" s="21" customFormat="1">
      <c r="A46" s="283"/>
      <c r="B46" s="232" t="s">
        <v>296</v>
      </c>
      <c r="J46" s="8"/>
      <c r="L46" s="141" t="s">
        <v>202</v>
      </c>
      <c r="M46" s="9"/>
      <c r="N46" s="9">
        <v>0</v>
      </c>
      <c r="O46" s="9"/>
      <c r="P46" s="9">
        <v>0</v>
      </c>
      <c r="Q46" s="9"/>
      <c r="R46" s="9">
        <f t="shared" ref="R46:AD46" si="9">SUM(R39:R45)</f>
        <v>18615760</v>
      </c>
      <c r="S46" s="9">
        <f t="shared" si="9"/>
        <v>0</v>
      </c>
      <c r="T46" s="9">
        <f t="shared" si="9"/>
        <v>0</v>
      </c>
      <c r="U46" s="9">
        <f t="shared" si="9"/>
        <v>0</v>
      </c>
      <c r="V46" s="9">
        <f t="shared" si="9"/>
        <v>0</v>
      </c>
      <c r="W46" s="9">
        <f t="shared" si="9"/>
        <v>0</v>
      </c>
      <c r="X46" s="9">
        <f t="shared" si="9"/>
        <v>0</v>
      </c>
      <c r="Y46" s="9">
        <f t="shared" si="9"/>
        <v>0</v>
      </c>
      <c r="Z46" s="9">
        <f t="shared" si="9"/>
        <v>0</v>
      </c>
      <c r="AA46" s="9">
        <f t="shared" si="9"/>
        <v>0</v>
      </c>
      <c r="AB46" s="9">
        <f t="shared" si="9"/>
        <v>0</v>
      </c>
      <c r="AC46" s="9">
        <f t="shared" si="9"/>
        <v>0</v>
      </c>
      <c r="AD46" s="9">
        <f t="shared" si="9"/>
        <v>0</v>
      </c>
      <c r="AE46" s="9"/>
      <c r="AF46" s="9">
        <f>SUM(AF39:AF45)</f>
        <v>0</v>
      </c>
      <c r="AG46" s="9"/>
      <c r="AH46" s="9">
        <f>SUM(AH39:AH45)</f>
        <v>0</v>
      </c>
      <c r="AI46" s="9"/>
      <c r="AJ46" s="9">
        <f t="shared" ref="AJ46:BV46" si="10">SUM(AJ39:AJ45)</f>
        <v>0</v>
      </c>
      <c r="AK46" s="9">
        <f t="shared" si="10"/>
        <v>0</v>
      </c>
      <c r="AL46" s="9">
        <f t="shared" si="10"/>
        <v>0</v>
      </c>
      <c r="AM46" s="9">
        <f t="shared" si="10"/>
        <v>0</v>
      </c>
      <c r="AN46" s="9">
        <f t="shared" si="10"/>
        <v>0</v>
      </c>
      <c r="AO46" s="9">
        <f t="shared" si="10"/>
        <v>0</v>
      </c>
      <c r="AP46" s="9">
        <f t="shared" si="10"/>
        <v>862088</v>
      </c>
      <c r="AQ46" s="9">
        <f t="shared" si="10"/>
        <v>0</v>
      </c>
      <c r="AR46" s="9">
        <f t="shared" si="10"/>
        <v>636689</v>
      </c>
      <c r="AS46" s="9">
        <f t="shared" si="10"/>
        <v>0</v>
      </c>
      <c r="AT46" s="9">
        <f t="shared" si="10"/>
        <v>1727562</v>
      </c>
      <c r="AU46" s="9">
        <f t="shared" si="10"/>
        <v>0</v>
      </c>
      <c r="AV46" s="9">
        <f t="shared" si="10"/>
        <v>0</v>
      </c>
      <c r="AW46" s="9">
        <f t="shared" si="10"/>
        <v>0</v>
      </c>
      <c r="AX46" s="9">
        <f t="shared" si="10"/>
        <v>1128996</v>
      </c>
      <c r="AY46" s="9">
        <f t="shared" si="10"/>
        <v>0</v>
      </c>
      <c r="AZ46" s="9">
        <f t="shared" si="10"/>
        <v>0</v>
      </c>
      <c r="BA46" s="9">
        <f t="shared" si="10"/>
        <v>0</v>
      </c>
      <c r="BB46" s="9">
        <f t="shared" si="10"/>
        <v>0</v>
      </c>
      <c r="BC46" s="9"/>
      <c r="BD46" s="9">
        <f t="shared" si="10"/>
        <v>9454960</v>
      </c>
      <c r="BE46" s="4"/>
      <c r="BF46" s="9">
        <f t="shared" si="10"/>
        <v>1296946</v>
      </c>
      <c r="BG46" s="4"/>
      <c r="BH46" s="9">
        <f t="shared" si="10"/>
        <v>0</v>
      </c>
      <c r="BI46" s="4"/>
      <c r="BJ46" s="9">
        <f t="shared" si="10"/>
        <v>327796</v>
      </c>
      <c r="BK46" s="4"/>
      <c r="BL46" s="9">
        <f t="shared" si="10"/>
        <v>0</v>
      </c>
      <c r="BM46" s="4"/>
      <c r="BN46" s="9">
        <f t="shared" si="10"/>
        <v>15435037</v>
      </c>
      <c r="BO46" s="4"/>
      <c r="BP46" s="9">
        <f t="shared" si="10"/>
        <v>-2540760</v>
      </c>
      <c r="BQ46" s="4"/>
      <c r="BR46" s="9">
        <f t="shared" si="10"/>
        <v>639963</v>
      </c>
      <c r="BS46" s="9">
        <f t="shared" si="10"/>
        <v>0</v>
      </c>
      <c r="BT46" s="9">
        <f t="shared" si="10"/>
        <v>16075000</v>
      </c>
      <c r="BU46" s="9">
        <f t="shared" si="10"/>
        <v>0</v>
      </c>
      <c r="BV46" s="9">
        <f t="shared" si="10"/>
        <v>2540760</v>
      </c>
      <c r="BW46" s="9"/>
    </row>
    <row r="47" spans="1:75">
      <c r="A47" s="100"/>
      <c r="B47" s="232"/>
      <c r="E47" s="4"/>
      <c r="G47" s="4"/>
      <c r="I47" s="4"/>
      <c r="L47" s="138"/>
      <c r="M47" s="6"/>
      <c r="O47" s="6"/>
      <c r="Q47" s="6"/>
      <c r="S47" s="6"/>
      <c r="T47" s="6"/>
      <c r="U47" s="6"/>
      <c r="V47" s="6"/>
      <c r="X47" s="6"/>
      <c r="Z47" s="6"/>
      <c r="AB47" s="6"/>
      <c r="AD47" s="6"/>
      <c r="AI47" s="4"/>
      <c r="BJ47" s="6"/>
      <c r="BL47" s="6"/>
      <c r="BP47" s="6"/>
      <c r="BW47" s="6"/>
    </row>
    <row r="48" spans="1:75">
      <c r="B48" s="21" t="s">
        <v>297</v>
      </c>
      <c r="E48" s="4"/>
      <c r="G48" s="4"/>
      <c r="I48" s="4"/>
      <c r="L48" s="138"/>
      <c r="M48" s="6"/>
      <c r="O48" s="6"/>
      <c r="Q48" s="6"/>
      <c r="S48" s="6"/>
      <c r="T48" s="6"/>
      <c r="U48" s="6"/>
      <c r="V48" s="6"/>
      <c r="X48" s="6"/>
      <c r="Z48" s="6"/>
      <c r="AB48" s="6"/>
      <c r="AD48" s="6"/>
      <c r="AI48" s="4"/>
      <c r="BJ48" s="6"/>
      <c r="BL48" s="6"/>
      <c r="BP48" s="6"/>
      <c r="BW48" s="6"/>
    </row>
    <row r="49" spans="1:75">
      <c r="B49" s="229" t="s">
        <v>384</v>
      </c>
      <c r="E49" s="4"/>
      <c r="G49" s="4"/>
      <c r="I49" s="4"/>
      <c r="J49" s="5" t="s">
        <v>229</v>
      </c>
      <c r="L49" s="138"/>
      <c r="M49" s="6"/>
      <c r="O49" s="6"/>
      <c r="Q49" s="6"/>
      <c r="R49" s="288">
        <v>410304</v>
      </c>
      <c r="S49" s="6"/>
      <c r="T49" s="6"/>
      <c r="U49" s="6"/>
      <c r="V49" s="6"/>
      <c r="X49" s="6"/>
      <c r="Z49" s="6"/>
      <c r="AB49" s="6"/>
      <c r="AD49" s="6"/>
      <c r="AI49" s="4"/>
      <c r="AR49" s="6">
        <v>10115</v>
      </c>
      <c r="AT49" s="6">
        <f>92620-10115</f>
        <v>82505</v>
      </c>
      <c r="AX49" s="6">
        <f>347139-92620</f>
        <v>254519</v>
      </c>
      <c r="BD49" s="6">
        <f>476088-347139</f>
        <v>128949</v>
      </c>
      <c r="BF49" s="6">
        <f>476183-476088</f>
        <v>95</v>
      </c>
      <c r="BJ49" s="6">
        <f>469000-476183</f>
        <v>-7183</v>
      </c>
      <c r="BL49" s="6"/>
      <c r="BN49" s="6">
        <f>SUM(T49:BM49)</f>
        <v>469000</v>
      </c>
      <c r="BP49" s="6">
        <f>469000-R49</f>
        <v>58696</v>
      </c>
      <c r="BR49" s="6">
        <f>IF(+R49-BN49+BP49&gt;0,R49-BN49+BP49,0)</f>
        <v>0</v>
      </c>
      <c r="BT49" s="6">
        <f>+BN49+BR49</f>
        <v>469000</v>
      </c>
      <c r="BV49" s="6">
        <f>+R49-BT49</f>
        <v>-58696</v>
      </c>
      <c r="BW49" s="6"/>
    </row>
    <row r="50" spans="1:75">
      <c r="B50" s="229" t="s">
        <v>385</v>
      </c>
      <c r="E50" s="4"/>
      <c r="G50" s="4"/>
      <c r="I50" s="4"/>
      <c r="J50" s="5" t="s">
        <v>229</v>
      </c>
      <c r="L50" s="138"/>
      <c r="M50" s="6"/>
      <c r="O50" s="6"/>
      <c r="Q50" s="6"/>
      <c r="R50" s="288">
        <v>4987110</v>
      </c>
      <c r="S50" s="6"/>
      <c r="T50" s="6"/>
      <c r="U50" s="6"/>
      <c r="V50" s="6"/>
      <c r="X50" s="6"/>
      <c r="Z50" s="6"/>
      <c r="AB50" s="6"/>
      <c r="AD50" s="6"/>
      <c r="AI50" s="4"/>
      <c r="AR50" s="6">
        <f>32997+239169+447</f>
        <v>272613</v>
      </c>
      <c r="AT50" s="6">
        <f>136407-32997+424960+187089+246544+650+1151</f>
        <v>963804</v>
      </c>
      <c r="AX50" s="6">
        <f>2851195-1236417</f>
        <v>1614778</v>
      </c>
      <c r="BD50" s="6">
        <f>4647003-2851195</f>
        <v>1795808</v>
      </c>
      <c r="BF50" s="6">
        <f>4924228-4647003</f>
        <v>277225</v>
      </c>
      <c r="BJ50" s="6">
        <f>4936000-4924228</f>
        <v>11772</v>
      </c>
      <c r="BL50" s="6"/>
      <c r="BN50" s="6">
        <f>SUM(T50:BM50)</f>
        <v>4936000</v>
      </c>
      <c r="BP50" s="6">
        <f>5655000-R50</f>
        <v>667890</v>
      </c>
      <c r="BR50" s="6">
        <f>IF(+R50-BN50+BP50&gt;0,R50-BN50+BP50,0)</f>
        <v>719000</v>
      </c>
      <c r="BT50" s="6">
        <f>+BN50+BR50</f>
        <v>5655000</v>
      </c>
      <c r="BV50" s="6">
        <f>+R50-BT50</f>
        <v>-667890</v>
      </c>
      <c r="BW50" s="6"/>
    </row>
    <row r="51" spans="1:75">
      <c r="B51" s="229" t="s">
        <v>19</v>
      </c>
      <c r="E51" s="4"/>
      <c r="G51" s="4"/>
      <c r="I51" s="4"/>
      <c r="J51" s="5" t="s">
        <v>229</v>
      </c>
      <c r="L51" s="138"/>
      <c r="M51" s="6"/>
      <c r="O51" s="6"/>
      <c r="Q51" s="6"/>
      <c r="R51" s="288">
        <v>786663</v>
      </c>
      <c r="S51" s="6"/>
      <c r="T51" s="6"/>
      <c r="U51" s="6"/>
      <c r="V51" s="6"/>
      <c r="X51" s="6"/>
      <c r="Z51" s="6"/>
      <c r="AB51" s="6"/>
      <c r="AD51" s="6"/>
      <c r="AI51" s="4"/>
      <c r="AP51" s="6">
        <v>3301</v>
      </c>
      <c r="AT51" s="6">
        <f>40398+33588</f>
        <v>73986</v>
      </c>
      <c r="AX51" s="6">
        <f>524003-77287</f>
        <v>446716</v>
      </c>
      <c r="BD51" s="6">
        <f>838499-524003</f>
        <v>314496</v>
      </c>
      <c r="BF51" s="6">
        <f>846743-838499</f>
        <v>8244</v>
      </c>
      <c r="BJ51" s="6">
        <f>885000-846743</f>
        <v>38257</v>
      </c>
      <c r="BL51" s="6"/>
      <c r="BN51" s="6">
        <f>SUM(T51:BM51)</f>
        <v>885000</v>
      </c>
      <c r="BP51" s="6">
        <f>885000-R51</f>
        <v>98337</v>
      </c>
      <c r="BR51" s="6">
        <f>IF(+R51-BN51+BP51&gt;0,R51-BN51+BP51,0)</f>
        <v>0</v>
      </c>
      <c r="BT51" s="6">
        <f>+BN51+BR51</f>
        <v>885000</v>
      </c>
      <c r="BV51" s="6">
        <f>+R51-BT51</f>
        <v>-98337</v>
      </c>
      <c r="BW51" s="6"/>
    </row>
    <row r="52" spans="1:75">
      <c r="B52" s="229" t="s">
        <v>386</v>
      </c>
      <c r="E52" s="4"/>
      <c r="G52" s="4"/>
      <c r="I52" s="4"/>
      <c r="J52" s="5" t="s">
        <v>229</v>
      </c>
      <c r="L52" s="138"/>
      <c r="M52" s="6"/>
      <c r="O52" s="6"/>
      <c r="Q52" s="6"/>
      <c r="R52" s="288">
        <v>654500</v>
      </c>
      <c r="S52" s="6"/>
      <c r="T52" s="6"/>
      <c r="U52" s="6"/>
      <c r="V52" s="6"/>
      <c r="X52" s="6"/>
      <c r="Z52" s="6"/>
      <c r="AB52" s="6"/>
      <c r="AD52" s="6"/>
      <c r="AI52" s="4"/>
      <c r="AR52" s="6">
        <v>63890</v>
      </c>
      <c r="AT52" s="6">
        <v>331326</v>
      </c>
      <c r="AX52" s="6">
        <f>744472-395216</f>
        <v>349256</v>
      </c>
      <c r="BD52" s="6">
        <f>818547-744472</f>
        <v>74075</v>
      </c>
      <c r="BF52" s="6">
        <f>828809-818547</f>
        <v>10262</v>
      </c>
      <c r="BJ52" s="6">
        <f>831000-828809</f>
        <v>2191</v>
      </c>
      <c r="BL52" s="6"/>
      <c r="BN52" s="6">
        <f>SUM(T52:BM52)</f>
        <v>831000</v>
      </c>
      <c r="BP52" s="6">
        <f>831000-R52</f>
        <v>176500</v>
      </c>
      <c r="BR52" s="6">
        <f>IF(+R52-BN52+BP52&gt;0,R52-BN52+BP52,0)</f>
        <v>0</v>
      </c>
      <c r="BT52" s="6">
        <f>+BN52+BR52</f>
        <v>831000</v>
      </c>
      <c r="BV52" s="6">
        <f>+R52-BT52</f>
        <v>-176500</v>
      </c>
      <c r="BW52" s="6"/>
    </row>
    <row r="53" spans="1:75" s="21" customFormat="1">
      <c r="A53" s="31"/>
      <c r="B53" s="232" t="s">
        <v>298</v>
      </c>
      <c r="J53" s="8"/>
      <c r="L53" s="141" t="s">
        <v>202</v>
      </c>
      <c r="M53" s="9"/>
      <c r="N53" s="9">
        <v>0</v>
      </c>
      <c r="O53" s="9"/>
      <c r="P53" s="9">
        <v>0</v>
      </c>
      <c r="Q53" s="9"/>
      <c r="R53" s="9">
        <f t="shared" ref="R53:AD53" si="11">SUM(R49:R52)</f>
        <v>6838577</v>
      </c>
      <c r="S53" s="9">
        <f t="shared" si="11"/>
        <v>0</v>
      </c>
      <c r="T53" s="9">
        <f t="shared" si="11"/>
        <v>0</v>
      </c>
      <c r="U53" s="9">
        <f t="shared" si="11"/>
        <v>0</v>
      </c>
      <c r="V53" s="9">
        <f t="shared" si="11"/>
        <v>0</v>
      </c>
      <c r="W53" s="9">
        <f t="shared" si="11"/>
        <v>0</v>
      </c>
      <c r="X53" s="9">
        <f t="shared" si="11"/>
        <v>0</v>
      </c>
      <c r="Y53" s="9">
        <f t="shared" si="11"/>
        <v>0</v>
      </c>
      <c r="Z53" s="9">
        <f t="shared" si="11"/>
        <v>0</v>
      </c>
      <c r="AA53" s="9">
        <f t="shared" si="11"/>
        <v>0</v>
      </c>
      <c r="AB53" s="9">
        <f t="shared" si="11"/>
        <v>0</v>
      </c>
      <c r="AC53" s="9">
        <f t="shared" si="11"/>
        <v>0</v>
      </c>
      <c r="AD53" s="9">
        <f t="shared" si="11"/>
        <v>0</v>
      </c>
      <c r="AE53" s="9"/>
      <c r="AF53" s="9">
        <f>SUM(AF49:AF52)</f>
        <v>0</v>
      </c>
      <c r="AG53" s="9"/>
      <c r="AH53" s="9">
        <f>SUM(AH49:AH52)</f>
        <v>0</v>
      </c>
      <c r="AI53" s="9"/>
      <c r="AJ53" s="9">
        <f t="shared" ref="AJ53:BV53" si="12">SUM(AJ49:AJ52)</f>
        <v>0</v>
      </c>
      <c r="AK53" s="9">
        <f t="shared" si="12"/>
        <v>0</v>
      </c>
      <c r="AL53" s="9">
        <f t="shared" si="12"/>
        <v>0</v>
      </c>
      <c r="AM53" s="9">
        <f t="shared" si="12"/>
        <v>0</v>
      </c>
      <c r="AN53" s="9">
        <f t="shared" si="12"/>
        <v>0</v>
      </c>
      <c r="AO53" s="9">
        <f t="shared" si="12"/>
        <v>0</v>
      </c>
      <c r="AP53" s="9">
        <f t="shared" si="12"/>
        <v>3301</v>
      </c>
      <c r="AQ53" s="9">
        <f t="shared" si="12"/>
        <v>0</v>
      </c>
      <c r="AR53" s="9">
        <f t="shared" si="12"/>
        <v>346618</v>
      </c>
      <c r="AS53" s="9">
        <f t="shared" si="12"/>
        <v>0</v>
      </c>
      <c r="AT53" s="9">
        <f t="shared" si="12"/>
        <v>1451621</v>
      </c>
      <c r="AU53" s="9">
        <f t="shared" si="12"/>
        <v>0</v>
      </c>
      <c r="AV53" s="9">
        <f t="shared" si="12"/>
        <v>0</v>
      </c>
      <c r="AW53" s="9">
        <f t="shared" si="12"/>
        <v>0</v>
      </c>
      <c r="AX53" s="9">
        <f t="shared" si="12"/>
        <v>2665269</v>
      </c>
      <c r="AY53" s="9">
        <f t="shared" si="12"/>
        <v>0</v>
      </c>
      <c r="AZ53" s="9">
        <f t="shared" si="12"/>
        <v>0</v>
      </c>
      <c r="BA53" s="9">
        <f t="shared" si="12"/>
        <v>0</v>
      </c>
      <c r="BB53" s="9">
        <f t="shared" si="12"/>
        <v>0</v>
      </c>
      <c r="BC53" s="9"/>
      <c r="BD53" s="9">
        <f t="shared" si="12"/>
        <v>2313328</v>
      </c>
      <c r="BE53" s="4"/>
      <c r="BF53" s="9">
        <f t="shared" si="12"/>
        <v>295826</v>
      </c>
      <c r="BG53" s="4"/>
      <c r="BH53" s="9">
        <f t="shared" si="12"/>
        <v>0</v>
      </c>
      <c r="BI53" s="4"/>
      <c r="BJ53" s="9">
        <f t="shared" si="12"/>
        <v>45037</v>
      </c>
      <c r="BK53" s="4"/>
      <c r="BL53" s="9">
        <f t="shared" si="12"/>
        <v>0</v>
      </c>
      <c r="BM53" s="4"/>
      <c r="BN53" s="9">
        <f t="shared" si="12"/>
        <v>7121000</v>
      </c>
      <c r="BO53" s="4"/>
      <c r="BP53" s="9">
        <f t="shared" si="12"/>
        <v>1001423</v>
      </c>
      <c r="BQ53" s="4"/>
      <c r="BR53" s="9">
        <f t="shared" si="12"/>
        <v>719000</v>
      </c>
      <c r="BS53" s="9">
        <f t="shared" si="12"/>
        <v>0</v>
      </c>
      <c r="BT53" s="9">
        <f t="shared" si="12"/>
        <v>7840000</v>
      </c>
      <c r="BU53" s="9">
        <f t="shared" si="12"/>
        <v>0</v>
      </c>
      <c r="BV53" s="9">
        <f t="shared" si="12"/>
        <v>-1001423</v>
      </c>
      <c r="BW53" s="9"/>
    </row>
    <row r="54" spans="1:75" s="21" customFormat="1">
      <c r="A54" s="31"/>
      <c r="B54" s="232"/>
      <c r="J54" s="8"/>
      <c r="L54" s="141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J54" s="9"/>
      <c r="AL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"/>
      <c r="AZ54" s="9"/>
      <c r="BA54" s="9"/>
      <c r="BB54" s="9"/>
      <c r="BC54" s="9"/>
      <c r="BD54" s="9"/>
      <c r="BE54" s="4"/>
      <c r="BF54" s="9"/>
      <c r="BG54" s="4"/>
      <c r="BH54" s="9"/>
      <c r="BI54" s="4"/>
      <c r="BJ54" s="9"/>
      <c r="BK54" s="4"/>
      <c r="BL54" s="9"/>
      <c r="BM54" s="4"/>
      <c r="BN54" s="9"/>
      <c r="BO54" s="4"/>
      <c r="BP54" s="9"/>
      <c r="BQ54" s="4"/>
      <c r="BR54" s="9"/>
      <c r="BS54" s="9"/>
      <c r="BT54" s="9"/>
      <c r="BU54" s="9"/>
      <c r="BV54" s="9"/>
      <c r="BW54" s="9"/>
    </row>
    <row r="55" spans="1:75" s="21" customFormat="1">
      <c r="A55" s="31"/>
      <c r="B55" s="289" t="s">
        <v>310</v>
      </c>
      <c r="J55" s="8"/>
      <c r="L55" s="141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J55" s="9"/>
      <c r="AL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"/>
      <c r="AZ55" s="9"/>
      <c r="BA55" s="9"/>
      <c r="BB55" s="9"/>
      <c r="BC55" s="9"/>
      <c r="BD55" s="9"/>
      <c r="BE55" s="4"/>
      <c r="BF55" s="9"/>
      <c r="BG55" s="4"/>
      <c r="BH55" s="9"/>
      <c r="BI55" s="4"/>
      <c r="BJ55" s="9"/>
      <c r="BK55" s="4"/>
      <c r="BL55" s="9"/>
      <c r="BM55" s="4"/>
      <c r="BN55" s="9"/>
      <c r="BO55" s="4"/>
      <c r="BP55" s="9"/>
      <c r="BQ55" s="4"/>
      <c r="BR55" s="9"/>
      <c r="BS55" s="9"/>
      <c r="BT55" s="9"/>
      <c r="BU55" s="9"/>
      <c r="BV55" s="9"/>
      <c r="BW55" s="9"/>
    </row>
    <row r="56" spans="1:75" s="21" customFormat="1">
      <c r="A56" s="31"/>
      <c r="B56" s="234" t="s">
        <v>299</v>
      </c>
      <c r="J56" s="8"/>
      <c r="L56" s="141"/>
      <c r="M56" s="9"/>
      <c r="N56" s="9"/>
      <c r="O56" s="9"/>
      <c r="P56" s="9"/>
      <c r="Q56" s="9"/>
      <c r="R56" s="288">
        <f>1331509+1001489</f>
        <v>2332998</v>
      </c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J56" s="9"/>
      <c r="AL56" s="9"/>
      <c r="AN56" s="9"/>
      <c r="AO56" s="9"/>
      <c r="AP56" s="9"/>
      <c r="AQ56" s="9"/>
      <c r="AR56" s="6">
        <v>949522</v>
      </c>
      <c r="AS56" s="9"/>
      <c r="AT56" s="6">
        <f>976794-949522</f>
        <v>27272</v>
      </c>
      <c r="AU56" s="9"/>
      <c r="AV56" s="9"/>
      <c r="AW56" s="9"/>
      <c r="AX56" s="6">
        <v>2274</v>
      </c>
      <c r="AY56" s="9"/>
      <c r="AZ56" s="9"/>
      <c r="BA56" s="9"/>
      <c r="BB56" s="9"/>
      <c r="BC56" s="9"/>
      <c r="BD56" s="6">
        <f>501323+788483-979068</f>
        <v>310738</v>
      </c>
      <c r="BE56" s="4"/>
      <c r="BF56" s="9">
        <f>501323+1019332-1289806</f>
        <v>230849</v>
      </c>
      <c r="BG56" s="4"/>
      <c r="BH56" s="9"/>
      <c r="BI56" s="4"/>
      <c r="BJ56" s="6">
        <f>538000+1432000-1520655</f>
        <v>449345</v>
      </c>
      <c r="BK56" s="4"/>
      <c r="BL56" s="6"/>
      <c r="BM56" s="4"/>
      <c r="BN56" s="6">
        <f t="shared" ref="BN56:BN79" si="13">SUM(T56:BM56)</f>
        <v>1970000</v>
      </c>
      <c r="BO56" s="4"/>
      <c r="BP56" s="6">
        <f>1432000+538000-R56</f>
        <v>-362998</v>
      </c>
      <c r="BQ56" s="4"/>
      <c r="BR56" s="6">
        <f>IF(+R56-BN56+BP56&gt;0,R56-BN56+BP56,0)</f>
        <v>0</v>
      </c>
      <c r="BS56" s="6"/>
      <c r="BT56" s="6">
        <f>+BN56+BR56</f>
        <v>1970000</v>
      </c>
      <c r="BU56" s="6"/>
      <c r="BV56" s="6">
        <f>+R56-BT56</f>
        <v>362998</v>
      </c>
      <c r="BW56" s="9"/>
    </row>
    <row r="57" spans="1:75" s="21" customFormat="1">
      <c r="A57" s="31"/>
      <c r="B57" s="234" t="s">
        <v>365</v>
      </c>
      <c r="J57" s="8"/>
      <c r="L57" s="141"/>
      <c r="M57" s="9"/>
      <c r="N57" s="9"/>
      <c r="O57" s="9"/>
      <c r="P57" s="9"/>
      <c r="Q57" s="9"/>
      <c r="R57" s="288">
        <v>0</v>
      </c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J57" s="9"/>
      <c r="AL57" s="9"/>
      <c r="AN57" s="9"/>
      <c r="AO57" s="9"/>
      <c r="AP57" s="9"/>
      <c r="AQ57" s="9"/>
      <c r="AR57" s="6"/>
      <c r="AS57" s="9"/>
      <c r="AT57" s="6"/>
      <c r="AU57" s="9"/>
      <c r="AV57" s="9"/>
      <c r="AW57" s="9"/>
      <c r="AX57" s="6"/>
      <c r="AY57" s="9"/>
      <c r="AZ57" s="9"/>
      <c r="BA57" s="9"/>
      <c r="BB57" s="9"/>
      <c r="BC57" s="9"/>
      <c r="BD57" s="6">
        <v>66938</v>
      </c>
      <c r="BE57" s="4"/>
      <c r="BF57" s="9">
        <f>84897-66938</f>
        <v>17959</v>
      </c>
      <c r="BG57" s="4"/>
      <c r="BH57" s="9"/>
      <c r="BI57" s="4"/>
      <c r="BJ57" s="6">
        <v>0</v>
      </c>
      <c r="BK57" s="4"/>
      <c r="BL57" s="6">
        <v>0</v>
      </c>
      <c r="BM57" s="4"/>
      <c r="BN57" s="6">
        <f t="shared" si="13"/>
        <v>84897</v>
      </c>
      <c r="BO57" s="4"/>
      <c r="BP57" s="6">
        <v>85000</v>
      </c>
      <c r="BQ57" s="4"/>
      <c r="BR57" s="6">
        <f>IF(+R57-BN57+BP57&gt;0,R57-BN57+BP57,0)</f>
        <v>103</v>
      </c>
      <c r="BS57" s="6"/>
      <c r="BT57" s="6">
        <f>+BN57+BR57</f>
        <v>85000</v>
      </c>
      <c r="BU57" s="6"/>
      <c r="BV57" s="6">
        <f>+R57-BT57</f>
        <v>-85000</v>
      </c>
      <c r="BW57" s="9"/>
    </row>
    <row r="58" spans="1:75" s="21" customFormat="1">
      <c r="A58" s="31"/>
      <c r="B58" s="234" t="s">
        <v>300</v>
      </c>
      <c r="J58" s="8"/>
      <c r="L58" s="141"/>
      <c r="M58" s="9"/>
      <c r="N58" s="9"/>
      <c r="O58" s="9"/>
      <c r="P58" s="9"/>
      <c r="Q58" s="9"/>
      <c r="R58" s="288">
        <v>497417</v>
      </c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J58" s="9"/>
      <c r="AL58" s="9"/>
      <c r="AN58" s="9"/>
      <c r="AO58" s="9"/>
      <c r="AP58" s="9"/>
      <c r="AQ58" s="9"/>
      <c r="AR58" s="6">
        <v>133215</v>
      </c>
      <c r="AS58" s="9"/>
      <c r="AT58" s="6">
        <f>261726-133215</f>
        <v>128511</v>
      </c>
      <c r="AU58" s="9"/>
      <c r="AV58" s="9"/>
      <c r="AW58" s="9"/>
      <c r="AX58" s="6">
        <f>1322243-261726</f>
        <v>1060517</v>
      </c>
      <c r="AY58" s="9"/>
      <c r="AZ58" s="9"/>
      <c r="BA58" s="9"/>
      <c r="BB58" s="9"/>
      <c r="BC58" s="9"/>
      <c r="BD58" s="6">
        <f>425284-1322243</f>
        <v>-896959</v>
      </c>
      <c r="BE58" s="4"/>
      <c r="BF58" s="9">
        <f>446090-425284</f>
        <v>20806</v>
      </c>
      <c r="BG58" s="4"/>
      <c r="BH58" s="9"/>
      <c r="BI58" s="4"/>
      <c r="BJ58" s="6">
        <v>0</v>
      </c>
      <c r="BK58" s="4"/>
      <c r="BL58" s="6">
        <v>0</v>
      </c>
      <c r="BM58" s="4"/>
      <c r="BN58" s="6">
        <f>SUM(T58:BM58)</f>
        <v>446090</v>
      </c>
      <c r="BO58" s="4"/>
      <c r="BP58" s="6">
        <f>446000-R58</f>
        <v>-51417</v>
      </c>
      <c r="BQ58" s="4"/>
      <c r="BR58" s="6">
        <f>IF(+R58-BN58+BP58&gt;0,R58-BN58+BP58,0)</f>
        <v>0</v>
      </c>
      <c r="BS58" s="6"/>
      <c r="BT58" s="6">
        <f>+BN58+BR58</f>
        <v>446090</v>
      </c>
      <c r="BU58" s="6"/>
      <c r="BV58" s="6">
        <f>+R58-BT58</f>
        <v>51327</v>
      </c>
      <c r="BW58" s="9"/>
    </row>
    <row r="59" spans="1:75" s="21" customFormat="1">
      <c r="A59" s="31"/>
      <c r="B59" s="234" t="s">
        <v>387</v>
      </c>
      <c r="J59" s="8"/>
      <c r="L59" s="141"/>
      <c r="M59" s="9"/>
      <c r="N59" s="9"/>
      <c r="O59" s="9"/>
      <c r="P59" s="9"/>
      <c r="Q59" s="9"/>
      <c r="R59" s="288">
        <v>834305</v>
      </c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J59" s="9"/>
      <c r="AL59" s="9"/>
      <c r="AN59" s="9"/>
      <c r="AO59" s="9"/>
      <c r="AP59" s="9"/>
      <c r="AQ59" s="9"/>
      <c r="AR59" s="6">
        <v>725</v>
      </c>
      <c r="AS59" s="9"/>
      <c r="AT59" s="6">
        <v>936926</v>
      </c>
      <c r="AU59" s="9"/>
      <c r="AV59" s="9"/>
      <c r="AW59" s="9"/>
      <c r="AX59" s="6">
        <f>1423431-937651</f>
        <v>485780</v>
      </c>
      <c r="AY59" s="9"/>
      <c r="AZ59" s="9"/>
      <c r="BA59" s="9"/>
      <c r="BB59" s="9"/>
      <c r="BC59" s="9"/>
      <c r="BD59" s="6">
        <f>2311396-1423431</f>
        <v>887965</v>
      </c>
      <c r="BE59" s="4"/>
      <c r="BF59" s="9">
        <f>2348535-2311396</f>
        <v>37139</v>
      </c>
      <c r="BG59" s="4"/>
      <c r="BH59" s="9"/>
      <c r="BI59" s="4"/>
      <c r="BJ59" s="6">
        <v>0</v>
      </c>
      <c r="BK59" s="4"/>
      <c r="BL59" s="6">
        <v>0</v>
      </c>
      <c r="BM59" s="4"/>
      <c r="BN59" s="6">
        <f>SUM(T59:BM59)</f>
        <v>2348535</v>
      </c>
      <c r="BO59" s="4"/>
      <c r="BP59" s="6">
        <f>2349000-R59</f>
        <v>1514695</v>
      </c>
      <c r="BQ59" s="4"/>
      <c r="BR59" s="6">
        <f>IF(+R59-BN59+BP59&gt;0,R59-BN59+BP59,0)</f>
        <v>465</v>
      </c>
      <c r="BS59" s="6"/>
      <c r="BT59" s="6">
        <f>+BN59+BR59</f>
        <v>2349000</v>
      </c>
      <c r="BU59" s="6"/>
      <c r="BV59" s="6">
        <f>+R59-BT59</f>
        <v>-1514695</v>
      </c>
      <c r="BW59" s="9"/>
    </row>
    <row r="60" spans="1:75" s="21" customFormat="1">
      <c r="A60" s="31"/>
      <c r="B60" s="234" t="s">
        <v>388</v>
      </c>
      <c r="J60" s="8"/>
      <c r="L60" s="141"/>
      <c r="M60" s="9"/>
      <c r="N60" s="9"/>
      <c r="O60" s="9"/>
      <c r="P60" s="9"/>
      <c r="Q60" s="9"/>
      <c r="R60" s="288">
        <v>718539</v>
      </c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J60" s="9"/>
      <c r="AL60" s="9"/>
      <c r="AN60" s="9"/>
      <c r="AO60" s="9"/>
      <c r="AP60" s="9"/>
      <c r="AQ60" s="9"/>
      <c r="AR60" s="6">
        <v>6350</v>
      </c>
      <c r="AS60" s="9"/>
      <c r="AT60" s="6">
        <f>561632-6350</f>
        <v>555282</v>
      </c>
      <c r="AU60" s="9"/>
      <c r="AV60" s="9"/>
      <c r="AW60" s="9"/>
      <c r="AX60" s="6">
        <f>1006302-561632</f>
        <v>444670</v>
      </c>
      <c r="AY60" s="9"/>
      <c r="AZ60" s="9"/>
      <c r="BA60" s="9"/>
      <c r="BB60" s="9"/>
      <c r="BC60" s="9"/>
      <c r="BD60" s="6">
        <f>1323463-1006302</f>
        <v>317161</v>
      </c>
      <c r="BE60" s="4"/>
      <c r="BF60" s="9">
        <f>1329939-1323463</f>
        <v>6476</v>
      </c>
      <c r="BG60" s="4"/>
      <c r="BH60" s="9"/>
      <c r="BI60" s="4"/>
      <c r="BJ60" s="6"/>
      <c r="BK60" s="4"/>
      <c r="BL60" s="6"/>
      <c r="BM60" s="4"/>
      <c r="BN60" s="6">
        <f t="shared" si="13"/>
        <v>1329939</v>
      </c>
      <c r="BO60" s="4"/>
      <c r="BP60" s="6">
        <f>1328000-R60</f>
        <v>609461</v>
      </c>
      <c r="BQ60" s="4"/>
      <c r="BR60" s="6">
        <f t="shared" ref="BR60:BR79" si="14">IF(+R60-BN60+BP60&gt;0,R60-BN60+BP60,0)</f>
        <v>0</v>
      </c>
      <c r="BS60" s="6"/>
      <c r="BT60" s="6">
        <f t="shared" ref="BT60:BT79" si="15">+BN60+BR60</f>
        <v>1329939</v>
      </c>
      <c r="BU60" s="6"/>
      <c r="BV60" s="6">
        <f t="shared" ref="BV60:BV79" si="16">+R60-BT60</f>
        <v>-611400</v>
      </c>
      <c r="BW60" s="9"/>
    </row>
    <row r="61" spans="1:75" s="21" customFormat="1">
      <c r="A61" s="31"/>
      <c r="B61" s="234" t="s">
        <v>301</v>
      </c>
      <c r="J61" s="8"/>
      <c r="L61" s="141"/>
      <c r="M61" s="9"/>
      <c r="N61" s="9"/>
      <c r="O61" s="9"/>
      <c r="P61" s="9"/>
      <c r="Q61" s="9"/>
      <c r="R61" s="288">
        <v>453000</v>
      </c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J61" s="9"/>
      <c r="AL61" s="9"/>
      <c r="AN61" s="9"/>
      <c r="AO61" s="9"/>
      <c r="AP61" s="9"/>
      <c r="AQ61" s="9"/>
      <c r="AR61" s="6">
        <v>103285</v>
      </c>
      <c r="AS61" s="9"/>
      <c r="AT61" s="6">
        <f>168329-103285</f>
        <v>65044</v>
      </c>
      <c r="AU61" s="9"/>
      <c r="AV61" s="9"/>
      <c r="AW61" s="9"/>
      <c r="AX61" s="6">
        <f>234316-168329</f>
        <v>65987</v>
      </c>
      <c r="AY61" s="9"/>
      <c r="AZ61" s="9"/>
      <c r="BA61" s="9"/>
      <c r="BB61" s="9"/>
      <c r="BC61" s="9"/>
      <c r="BD61" s="6">
        <f>262512-234316</f>
        <v>28196</v>
      </c>
      <c r="BE61" s="4"/>
      <c r="BF61" s="9">
        <v>0</v>
      </c>
      <c r="BG61" s="4"/>
      <c r="BH61" s="9"/>
      <c r="BI61" s="4"/>
      <c r="BJ61" s="6">
        <f>266000-262512</f>
        <v>3488</v>
      </c>
      <c r="BK61" s="4"/>
      <c r="BL61" s="6"/>
      <c r="BM61" s="4"/>
      <c r="BN61" s="6">
        <f>SUM(T61:BM61)</f>
        <v>266000</v>
      </c>
      <c r="BO61" s="4"/>
      <c r="BP61" s="6">
        <f>266000-R61</f>
        <v>-187000</v>
      </c>
      <c r="BQ61" s="4"/>
      <c r="BR61" s="6">
        <f>IF(+R61-BN61+BP61&gt;0,R61-BN61+BP61,0)</f>
        <v>0</v>
      </c>
      <c r="BS61" s="6"/>
      <c r="BT61" s="6">
        <f>+BN61+BR61</f>
        <v>266000</v>
      </c>
      <c r="BU61" s="6"/>
      <c r="BV61" s="6">
        <f>+R61-BT61</f>
        <v>187000</v>
      </c>
      <c r="BW61" s="9"/>
    </row>
    <row r="62" spans="1:75" s="21" customFormat="1">
      <c r="A62" s="31"/>
      <c r="B62" s="234" t="s">
        <v>394</v>
      </c>
      <c r="J62" s="8"/>
      <c r="L62" s="141"/>
      <c r="M62" s="9"/>
      <c r="N62" s="9"/>
      <c r="O62" s="9"/>
      <c r="P62" s="9"/>
      <c r="Q62" s="9"/>
      <c r="R62" s="288">
        <v>2265021</v>
      </c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J62" s="9"/>
      <c r="AL62" s="9"/>
      <c r="AN62" s="9"/>
      <c r="AO62" s="9"/>
      <c r="AP62" s="9"/>
      <c r="AQ62" s="9"/>
      <c r="AR62" s="6">
        <v>644530</v>
      </c>
      <c r="AS62" s="9"/>
      <c r="AT62" s="6">
        <v>1379020</v>
      </c>
      <c r="AU62" s="9"/>
      <c r="AV62" s="9"/>
      <c r="AW62" s="9"/>
      <c r="AX62" s="6">
        <f>3209322-2023550</f>
        <v>1185772</v>
      </c>
      <c r="AY62" s="9"/>
      <c r="AZ62" s="9"/>
      <c r="BA62" s="9"/>
      <c r="BB62" s="9"/>
      <c r="BC62" s="9"/>
      <c r="BD62" s="6">
        <f>3375904-3209322</f>
        <v>166582</v>
      </c>
      <c r="BE62" s="4"/>
      <c r="BF62" s="9">
        <f>3538842-3375904</f>
        <v>162938</v>
      </c>
      <c r="BG62" s="4"/>
      <c r="BH62" s="9"/>
      <c r="BI62" s="4"/>
      <c r="BJ62" s="6">
        <f>3703000-3538842</f>
        <v>164158</v>
      </c>
      <c r="BK62" s="4"/>
      <c r="BL62" s="6"/>
      <c r="BM62" s="4"/>
      <c r="BN62" s="6">
        <f t="shared" si="13"/>
        <v>3703000</v>
      </c>
      <c r="BO62" s="4"/>
      <c r="BP62" s="6">
        <f>3874000-R62</f>
        <v>1608979</v>
      </c>
      <c r="BQ62" s="4"/>
      <c r="BR62" s="6">
        <f t="shared" si="14"/>
        <v>171000</v>
      </c>
      <c r="BS62" s="6"/>
      <c r="BT62" s="6">
        <f t="shared" si="15"/>
        <v>3874000</v>
      </c>
      <c r="BU62" s="6"/>
      <c r="BV62" s="6">
        <f t="shared" si="16"/>
        <v>-1608979</v>
      </c>
      <c r="BW62" s="9"/>
    </row>
    <row r="63" spans="1:75" s="21" customFormat="1">
      <c r="A63" s="31"/>
      <c r="B63" s="234" t="s">
        <v>302</v>
      </c>
      <c r="J63" s="8"/>
      <c r="L63" s="141"/>
      <c r="M63" s="9"/>
      <c r="N63" s="9"/>
      <c r="O63" s="9"/>
      <c r="P63" s="9"/>
      <c r="Q63" s="9"/>
      <c r="R63" s="288">
        <v>1150462</v>
      </c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J63" s="9"/>
      <c r="AL63" s="9"/>
      <c r="AN63" s="9"/>
      <c r="AO63" s="9"/>
      <c r="AP63" s="9"/>
      <c r="AQ63" s="9"/>
      <c r="AR63" s="6">
        <v>508620</v>
      </c>
      <c r="AS63" s="9"/>
      <c r="AT63" s="6">
        <f>1062094-508620</f>
        <v>553474</v>
      </c>
      <c r="AU63" s="9"/>
      <c r="AV63" s="9"/>
      <c r="AW63" s="9"/>
      <c r="AX63" s="6">
        <f>1254696-1062094</f>
        <v>192602</v>
      </c>
      <c r="AY63" s="9"/>
      <c r="AZ63" s="9"/>
      <c r="BA63" s="9"/>
      <c r="BB63" s="9"/>
      <c r="BC63" s="9"/>
      <c r="BD63" s="6">
        <f>1438156-1254696</f>
        <v>183460</v>
      </c>
      <c r="BE63" s="4"/>
      <c r="BF63" s="9">
        <f>1443041-1438156</f>
        <v>4885</v>
      </c>
      <c r="BG63" s="4"/>
      <c r="BH63" s="9"/>
      <c r="BI63" s="4"/>
      <c r="BJ63" s="6">
        <f>1444000-1443041</f>
        <v>959</v>
      </c>
      <c r="BK63" s="4"/>
      <c r="BL63" s="6"/>
      <c r="BM63" s="4"/>
      <c r="BN63" s="6">
        <f>SUM(T63:BM63)</f>
        <v>1444000</v>
      </c>
      <c r="BO63" s="4"/>
      <c r="BP63" s="6">
        <f>1446000-R63</f>
        <v>295538</v>
      </c>
      <c r="BQ63" s="4"/>
      <c r="BR63" s="6">
        <f>IF(+R63-BN63+BP63&gt;0,R63-BN63+BP63,0)</f>
        <v>2000</v>
      </c>
      <c r="BS63" s="6"/>
      <c r="BT63" s="6">
        <f>+BN63+BR63</f>
        <v>1446000</v>
      </c>
      <c r="BU63" s="6"/>
      <c r="BV63" s="6">
        <f>+R63-BT63</f>
        <v>-295538</v>
      </c>
      <c r="BW63" s="9"/>
    </row>
    <row r="64" spans="1:75" s="21" customFormat="1">
      <c r="A64" s="31"/>
      <c r="B64" s="234" t="s">
        <v>389</v>
      </c>
      <c r="J64" s="8"/>
      <c r="L64" s="141"/>
      <c r="M64" s="9"/>
      <c r="N64" s="9"/>
      <c r="O64" s="9"/>
      <c r="P64" s="9"/>
      <c r="Q64" s="9"/>
      <c r="R64" s="288">
        <v>189949</v>
      </c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J64" s="9"/>
      <c r="AL64" s="9"/>
      <c r="AN64" s="9"/>
      <c r="AO64" s="9"/>
      <c r="AP64" s="9"/>
      <c r="AQ64" s="9"/>
      <c r="AR64" s="6">
        <v>0</v>
      </c>
      <c r="AS64" s="9"/>
      <c r="AT64" s="6">
        <v>52828</v>
      </c>
      <c r="AU64" s="9"/>
      <c r="AV64" s="9"/>
      <c r="AW64" s="9"/>
      <c r="AX64" s="6">
        <f>288972-52828</f>
        <v>236144</v>
      </c>
      <c r="AY64" s="9"/>
      <c r="AZ64" s="9"/>
      <c r="BA64" s="9"/>
      <c r="BB64" s="9"/>
      <c r="BC64" s="9"/>
      <c r="BD64" s="6">
        <f>1008815-288972</f>
        <v>719843</v>
      </c>
      <c r="BE64" s="4"/>
      <c r="BF64" s="9">
        <f>1031462-1008815</f>
        <v>22647</v>
      </c>
      <c r="BG64" s="4"/>
      <c r="BH64" s="9"/>
      <c r="BI64" s="4"/>
      <c r="BJ64" s="6">
        <v>0</v>
      </c>
      <c r="BK64" s="4"/>
      <c r="BL64" s="6">
        <v>0</v>
      </c>
      <c r="BM64" s="4"/>
      <c r="BN64" s="6">
        <f t="shared" si="13"/>
        <v>1031462</v>
      </c>
      <c r="BO64" s="4"/>
      <c r="BP64" s="6">
        <f>1031000-R64</f>
        <v>841051</v>
      </c>
      <c r="BQ64" s="4"/>
      <c r="BR64" s="6">
        <f t="shared" si="14"/>
        <v>0</v>
      </c>
      <c r="BS64" s="6"/>
      <c r="BT64" s="6">
        <f t="shared" si="15"/>
        <v>1031462</v>
      </c>
      <c r="BU64" s="6"/>
      <c r="BV64" s="6">
        <f t="shared" si="16"/>
        <v>-841513</v>
      </c>
      <c r="BW64" s="9"/>
    </row>
    <row r="65" spans="1:75" s="21" customFormat="1">
      <c r="A65" s="31"/>
      <c r="B65" s="234" t="s">
        <v>393</v>
      </c>
      <c r="J65" s="8"/>
      <c r="L65" s="141"/>
      <c r="M65" s="9"/>
      <c r="N65" s="9"/>
      <c r="O65" s="9"/>
      <c r="P65" s="9"/>
      <c r="Q65" s="9"/>
      <c r="R65" s="288">
        <v>77621</v>
      </c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J65" s="9"/>
      <c r="AL65" s="9"/>
      <c r="AN65" s="9"/>
      <c r="AO65" s="9"/>
      <c r="AP65" s="9"/>
      <c r="AQ65" s="9"/>
      <c r="AR65" s="6">
        <v>4214</v>
      </c>
      <c r="AS65" s="9"/>
      <c r="AT65" s="6">
        <f>11626-4214</f>
        <v>7412</v>
      </c>
      <c r="AU65" s="9"/>
      <c r="AV65" s="9"/>
      <c r="AW65" s="9"/>
      <c r="AX65" s="6">
        <f>15618-11626</f>
        <v>3992</v>
      </c>
      <c r="AY65" s="9"/>
      <c r="AZ65" s="9"/>
      <c r="BA65" s="9"/>
      <c r="BB65" s="9"/>
      <c r="BC65" s="9"/>
      <c r="BD65" s="6">
        <f>34894-15618</f>
        <v>19276</v>
      </c>
      <c r="BE65" s="4"/>
      <c r="BF65" s="9">
        <f>37948-34894</f>
        <v>3054</v>
      </c>
      <c r="BG65" s="4"/>
      <c r="BH65" s="9"/>
      <c r="BI65" s="4"/>
      <c r="BJ65" s="6">
        <f>40000-37948</f>
        <v>2052</v>
      </c>
      <c r="BK65" s="4"/>
      <c r="BL65" s="6"/>
      <c r="BM65" s="4"/>
      <c r="BN65" s="6">
        <f>SUM(T65:BM65)</f>
        <v>40000</v>
      </c>
      <c r="BO65" s="4"/>
      <c r="BP65" s="6">
        <f>40000-R65</f>
        <v>-37621</v>
      </c>
      <c r="BQ65" s="4"/>
      <c r="BR65" s="6">
        <f>IF(+R65-BN65+BP65&gt;0,R65-BN65+BP65,0)</f>
        <v>0</v>
      </c>
      <c r="BS65" s="6"/>
      <c r="BT65" s="6">
        <f>+BN65+BR65</f>
        <v>40000</v>
      </c>
      <c r="BU65" s="6"/>
      <c r="BV65" s="6">
        <f>+R65-BT65</f>
        <v>37621</v>
      </c>
      <c r="BW65" s="9"/>
    </row>
    <row r="66" spans="1:75" s="21" customFormat="1">
      <c r="A66" s="31"/>
      <c r="B66" s="234" t="s">
        <v>303</v>
      </c>
      <c r="J66" s="8"/>
      <c r="L66" s="141"/>
      <c r="M66" s="9"/>
      <c r="N66" s="9"/>
      <c r="O66" s="9"/>
      <c r="P66" s="9"/>
      <c r="Q66" s="9"/>
      <c r="R66" s="288">
        <v>144437</v>
      </c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J66" s="9"/>
      <c r="AL66" s="9"/>
      <c r="AN66" s="9"/>
      <c r="AO66" s="9"/>
      <c r="AP66" s="9"/>
      <c r="AQ66" s="9"/>
      <c r="AR66" s="6">
        <v>0</v>
      </c>
      <c r="AS66" s="9"/>
      <c r="AT66" s="6">
        <v>0</v>
      </c>
      <c r="AU66" s="9"/>
      <c r="AV66" s="9"/>
      <c r="AW66" s="9"/>
      <c r="AX66" s="6">
        <f>86250-0</f>
        <v>86250</v>
      </c>
      <c r="AY66" s="9"/>
      <c r="AZ66" s="9"/>
      <c r="BA66" s="9"/>
      <c r="BB66" s="9"/>
      <c r="BC66" s="9"/>
      <c r="BD66" s="6">
        <f>534755-86250</f>
        <v>448505</v>
      </c>
      <c r="BE66" s="4"/>
      <c r="BF66" s="9">
        <f>548568-534755</f>
        <v>13813</v>
      </c>
      <c r="BG66" s="4"/>
      <c r="BH66" s="9"/>
      <c r="BI66" s="4"/>
      <c r="BJ66" s="6">
        <v>0</v>
      </c>
      <c r="BK66" s="4"/>
      <c r="BL66" s="6">
        <v>0</v>
      </c>
      <c r="BM66" s="4"/>
      <c r="BN66" s="6">
        <f t="shared" si="13"/>
        <v>548568</v>
      </c>
      <c r="BO66" s="4"/>
      <c r="BP66" s="6">
        <f>549000-R66</f>
        <v>404563</v>
      </c>
      <c r="BQ66" s="4"/>
      <c r="BR66" s="6">
        <f t="shared" si="14"/>
        <v>432</v>
      </c>
      <c r="BS66" s="6"/>
      <c r="BT66" s="6">
        <f t="shared" si="15"/>
        <v>549000</v>
      </c>
      <c r="BU66" s="6"/>
      <c r="BV66" s="6">
        <f t="shared" si="16"/>
        <v>-404563</v>
      </c>
      <c r="BW66" s="9"/>
    </row>
    <row r="67" spans="1:75" s="21" customFormat="1">
      <c r="A67" s="31"/>
      <c r="B67" s="234" t="s">
        <v>304</v>
      </c>
      <c r="J67" s="8"/>
      <c r="L67" s="141"/>
      <c r="M67" s="9"/>
      <c r="N67" s="9"/>
      <c r="O67" s="9"/>
      <c r="P67" s="9"/>
      <c r="Q67" s="9"/>
      <c r="R67" s="288">
        <v>327314</v>
      </c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J67" s="9"/>
      <c r="AL67" s="9"/>
      <c r="AN67" s="9"/>
      <c r="AO67" s="9"/>
      <c r="AP67" s="9"/>
      <c r="AQ67" s="9"/>
      <c r="AR67" s="6">
        <v>85468</v>
      </c>
      <c r="AS67" s="9"/>
      <c r="AT67" s="6">
        <v>1</v>
      </c>
      <c r="AU67" s="9"/>
      <c r="AV67" s="9"/>
      <c r="AW67" s="9"/>
      <c r="AX67" s="6">
        <f>194633-85469</f>
        <v>109164</v>
      </c>
      <c r="AY67" s="9"/>
      <c r="AZ67" s="9"/>
      <c r="BA67" s="9"/>
      <c r="BB67" s="9"/>
      <c r="BC67" s="9"/>
      <c r="BD67" s="6">
        <f>350311-194633</f>
        <v>155678</v>
      </c>
      <c r="BE67" s="4"/>
      <c r="BF67" s="9">
        <v>0</v>
      </c>
      <c r="BG67" s="4"/>
      <c r="BH67" s="9"/>
      <c r="BI67" s="4"/>
      <c r="BJ67" s="6">
        <v>0</v>
      </c>
      <c r="BK67" s="4"/>
      <c r="BL67" s="6">
        <v>0</v>
      </c>
      <c r="BM67" s="4"/>
      <c r="BN67" s="6">
        <f>SUM(T67:BM67)</f>
        <v>350311</v>
      </c>
      <c r="BO67" s="4"/>
      <c r="BP67" s="6">
        <f>350000-R67</f>
        <v>22686</v>
      </c>
      <c r="BQ67" s="4"/>
      <c r="BR67" s="6">
        <f>IF(+R67-BN67+BP67&gt;0,R67-BN67+BP67,0)</f>
        <v>0</v>
      </c>
      <c r="BS67" s="6"/>
      <c r="BT67" s="6">
        <f>+BN67+BR67</f>
        <v>350311</v>
      </c>
      <c r="BU67" s="6"/>
      <c r="BV67" s="6">
        <f>+R67-BT67</f>
        <v>-22997</v>
      </c>
      <c r="BW67" s="9"/>
    </row>
    <row r="68" spans="1:75" s="21" customFormat="1">
      <c r="A68" s="31"/>
      <c r="B68" s="234" t="s">
        <v>305</v>
      </c>
      <c r="J68" s="8"/>
      <c r="L68" s="141"/>
      <c r="M68" s="9"/>
      <c r="N68" s="9"/>
      <c r="O68" s="9"/>
      <c r="P68" s="9"/>
      <c r="Q68" s="9"/>
      <c r="R68" s="288">
        <v>330460</v>
      </c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J68" s="9"/>
      <c r="AL68" s="9"/>
      <c r="AN68" s="9"/>
      <c r="AO68" s="9"/>
      <c r="AP68" s="9"/>
      <c r="AQ68" s="9"/>
      <c r="AR68" s="6">
        <v>0</v>
      </c>
      <c r="AS68" s="9"/>
      <c r="AT68" s="6"/>
      <c r="AU68" s="9"/>
      <c r="AV68" s="9"/>
      <c r="AW68" s="9"/>
      <c r="AX68" s="6">
        <v>204390</v>
      </c>
      <c r="AY68" s="9"/>
      <c r="AZ68" s="9"/>
      <c r="BA68" s="9"/>
      <c r="BB68" s="9"/>
      <c r="BC68" s="9"/>
      <c r="BD68" s="6">
        <f>2746-204390</f>
        <v>-201644</v>
      </c>
      <c r="BE68" s="4"/>
      <c r="BF68" s="9">
        <f>17674-2746</f>
        <v>14928</v>
      </c>
      <c r="BG68" s="4"/>
      <c r="BH68" s="9"/>
      <c r="BI68" s="4"/>
      <c r="BJ68" s="6">
        <v>0</v>
      </c>
      <c r="BK68" s="4"/>
      <c r="BL68" s="6">
        <v>0</v>
      </c>
      <c r="BM68" s="4"/>
      <c r="BN68" s="6">
        <f t="shared" si="13"/>
        <v>17674</v>
      </c>
      <c r="BO68" s="4"/>
      <c r="BP68" s="6">
        <f>18000-R68</f>
        <v>-312460</v>
      </c>
      <c r="BQ68" s="4"/>
      <c r="BR68" s="6">
        <f t="shared" si="14"/>
        <v>326</v>
      </c>
      <c r="BS68" s="6"/>
      <c r="BT68" s="6">
        <f t="shared" si="15"/>
        <v>18000</v>
      </c>
      <c r="BU68" s="6"/>
      <c r="BV68" s="6">
        <f t="shared" si="16"/>
        <v>312460</v>
      </c>
      <c r="BW68" s="9"/>
    </row>
    <row r="69" spans="1:75" s="21" customFormat="1">
      <c r="A69" s="31"/>
      <c r="B69" s="234" t="s">
        <v>390</v>
      </c>
      <c r="J69" s="8"/>
      <c r="L69" s="141"/>
      <c r="M69" s="9"/>
      <c r="N69" s="9"/>
      <c r="O69" s="9"/>
      <c r="P69" s="9"/>
      <c r="Q69" s="9"/>
      <c r="R69" s="288">
        <v>808591</v>
      </c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J69" s="9"/>
      <c r="AL69" s="9"/>
      <c r="AN69" s="9"/>
      <c r="AO69" s="9"/>
      <c r="AP69" s="9"/>
      <c r="AQ69" s="9"/>
      <c r="AR69" s="6">
        <v>0</v>
      </c>
      <c r="AS69" s="9"/>
      <c r="AT69" s="6">
        <v>92600</v>
      </c>
      <c r="AU69" s="9"/>
      <c r="AV69" s="9"/>
      <c r="AW69" s="9"/>
      <c r="AX69" s="6">
        <f>150560-92600</f>
        <v>57960</v>
      </c>
      <c r="AY69" s="9"/>
      <c r="AZ69" s="9"/>
      <c r="BA69" s="9"/>
      <c r="BB69" s="9"/>
      <c r="BC69" s="9"/>
      <c r="BD69" s="6">
        <f>479383-150560</f>
        <v>328823</v>
      </c>
      <c r="BE69" s="4"/>
      <c r="BF69" s="9">
        <f>495063-479383</f>
        <v>15680</v>
      </c>
      <c r="BG69" s="4"/>
      <c r="BH69" s="9"/>
      <c r="BI69" s="4"/>
      <c r="BJ69" s="6">
        <f>562000-495063</f>
        <v>66937</v>
      </c>
      <c r="BK69" s="4"/>
      <c r="BL69" s="6"/>
      <c r="BM69" s="4"/>
      <c r="BN69" s="6">
        <f t="shared" si="13"/>
        <v>562000</v>
      </c>
      <c r="BO69" s="4"/>
      <c r="BP69" s="6">
        <f>562000-R69</f>
        <v>-246591</v>
      </c>
      <c r="BQ69" s="4"/>
      <c r="BR69" s="6">
        <f t="shared" si="14"/>
        <v>0</v>
      </c>
      <c r="BS69" s="6"/>
      <c r="BT69" s="6">
        <f t="shared" si="15"/>
        <v>562000</v>
      </c>
      <c r="BU69" s="6"/>
      <c r="BV69" s="6">
        <f t="shared" si="16"/>
        <v>246591</v>
      </c>
      <c r="BW69" s="9"/>
    </row>
    <row r="70" spans="1:75" s="21" customFormat="1">
      <c r="A70" s="31"/>
      <c r="B70" s="234" t="s">
        <v>391</v>
      </c>
      <c r="J70" s="8"/>
      <c r="L70" s="141"/>
      <c r="M70" s="9"/>
      <c r="N70" s="9"/>
      <c r="O70" s="9"/>
      <c r="P70" s="9"/>
      <c r="Q70" s="9"/>
      <c r="R70" s="288">
        <v>858343</v>
      </c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J70" s="9"/>
      <c r="AL70" s="9"/>
      <c r="AN70" s="9"/>
      <c r="AO70" s="9"/>
      <c r="AP70" s="9"/>
      <c r="AQ70" s="9"/>
      <c r="AR70" s="6">
        <v>0</v>
      </c>
      <c r="AS70" s="9"/>
      <c r="AT70" s="6">
        <f>44379+1584</f>
        <v>45963</v>
      </c>
      <c r="AU70" s="9"/>
      <c r="AV70" s="9"/>
      <c r="AW70" s="9"/>
      <c r="AX70" s="6">
        <f>358585-45963</f>
        <v>312622</v>
      </c>
      <c r="AY70" s="9"/>
      <c r="AZ70" s="9"/>
      <c r="BA70" s="9"/>
      <c r="BB70" s="9"/>
      <c r="BC70" s="9"/>
      <c r="BD70" s="6">
        <f>1258968-358585</f>
        <v>900383</v>
      </c>
      <c r="BE70" s="4"/>
      <c r="BF70" s="9">
        <f>1282165-1258968</f>
        <v>23197</v>
      </c>
      <c r="BG70" s="4"/>
      <c r="BH70" s="9"/>
      <c r="BI70" s="4"/>
      <c r="BJ70" s="6">
        <v>0</v>
      </c>
      <c r="BK70" s="4"/>
      <c r="BL70" s="6">
        <v>0</v>
      </c>
      <c r="BM70" s="4"/>
      <c r="BN70" s="6">
        <f t="shared" si="13"/>
        <v>1282165</v>
      </c>
      <c r="BO70" s="4"/>
      <c r="BP70" s="6">
        <f>1282000-R70</f>
        <v>423657</v>
      </c>
      <c r="BQ70" s="4"/>
      <c r="BR70" s="6">
        <f t="shared" si="14"/>
        <v>0</v>
      </c>
      <c r="BS70" s="6"/>
      <c r="BT70" s="6">
        <f t="shared" si="15"/>
        <v>1282165</v>
      </c>
      <c r="BU70" s="6"/>
      <c r="BV70" s="6">
        <f t="shared" si="16"/>
        <v>-423822</v>
      </c>
      <c r="BW70" s="9"/>
    </row>
    <row r="71" spans="1:75" s="21" customFormat="1">
      <c r="A71" s="31"/>
      <c r="B71" s="234" t="s">
        <v>392</v>
      </c>
      <c r="J71" s="8"/>
      <c r="L71" s="141"/>
      <c r="M71" s="9"/>
      <c r="N71" s="9"/>
      <c r="O71" s="9"/>
      <c r="P71" s="9"/>
      <c r="Q71" s="9"/>
      <c r="R71" s="288">
        <v>1745515</v>
      </c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J71" s="9"/>
      <c r="AL71" s="9"/>
      <c r="AN71" s="9"/>
      <c r="AO71" s="9"/>
      <c r="AP71" s="9"/>
      <c r="AQ71" s="9"/>
      <c r="AR71" s="6"/>
      <c r="AS71" s="9"/>
      <c r="AT71" s="6">
        <v>46290</v>
      </c>
      <c r="AU71" s="9"/>
      <c r="AV71" s="9"/>
      <c r="AW71" s="9"/>
      <c r="AX71" s="6">
        <f>1227338-46290</f>
        <v>1181048</v>
      </c>
      <c r="AY71" s="9"/>
      <c r="AZ71" s="9"/>
      <c r="BA71" s="9"/>
      <c r="BB71" s="9"/>
      <c r="BC71" s="9"/>
      <c r="BD71" s="6">
        <f>5717361-1227338</f>
        <v>4490023</v>
      </c>
      <c r="BE71" s="4"/>
      <c r="BF71" s="9">
        <f>6038190-5717361</f>
        <v>320829</v>
      </c>
      <c r="BG71" s="4"/>
      <c r="BH71" s="9"/>
      <c r="BI71" s="4"/>
      <c r="BJ71" s="6">
        <f>6079000-6038190</f>
        <v>40810</v>
      </c>
      <c r="BK71" s="4"/>
      <c r="BL71" s="6"/>
      <c r="BM71" s="4"/>
      <c r="BN71" s="6">
        <f t="shared" si="13"/>
        <v>6079000</v>
      </c>
      <c r="BO71" s="4"/>
      <c r="BP71" s="6">
        <f>6083000-R71</f>
        <v>4337485</v>
      </c>
      <c r="BQ71" s="4"/>
      <c r="BR71" s="6">
        <f t="shared" si="14"/>
        <v>4000</v>
      </c>
      <c r="BS71" s="6"/>
      <c r="BT71" s="6">
        <f t="shared" si="15"/>
        <v>6083000</v>
      </c>
      <c r="BU71" s="6"/>
      <c r="BV71" s="6">
        <f t="shared" si="16"/>
        <v>-4337485</v>
      </c>
      <c r="BW71" s="9"/>
    </row>
    <row r="72" spans="1:75" s="21" customFormat="1">
      <c r="A72" s="31"/>
      <c r="B72" s="234" t="s">
        <v>307</v>
      </c>
      <c r="J72" s="8"/>
      <c r="L72" s="141"/>
      <c r="M72" s="9"/>
      <c r="N72" s="9"/>
      <c r="O72" s="9"/>
      <c r="P72" s="9"/>
      <c r="Q72" s="9"/>
      <c r="R72" s="288">
        <v>571564</v>
      </c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J72" s="9"/>
      <c r="AL72" s="9"/>
      <c r="AN72" s="9"/>
      <c r="AO72" s="9"/>
      <c r="AP72" s="9"/>
      <c r="AQ72" s="9"/>
      <c r="AR72" s="6"/>
      <c r="AS72" s="9"/>
      <c r="AT72" s="6">
        <v>526</v>
      </c>
      <c r="AU72" s="9"/>
      <c r="AV72" s="9"/>
      <c r="AW72" s="9"/>
      <c r="AX72" s="6">
        <f>32975-526</f>
        <v>32449</v>
      </c>
      <c r="AY72" s="9"/>
      <c r="AZ72" s="9"/>
      <c r="BA72" s="9"/>
      <c r="BB72" s="9"/>
      <c r="BC72" s="9"/>
      <c r="BD72" s="6">
        <f>221751-32975</f>
        <v>188776</v>
      </c>
      <c r="BE72" s="4"/>
      <c r="BF72" s="9">
        <f>222321-221751</f>
        <v>570</v>
      </c>
      <c r="BG72" s="4"/>
      <c r="BH72" s="9"/>
      <c r="BI72" s="4"/>
      <c r="BJ72" s="6">
        <f>223000-222321</f>
        <v>679</v>
      </c>
      <c r="BK72" s="4"/>
      <c r="BL72" s="6"/>
      <c r="BM72" s="4"/>
      <c r="BN72" s="6">
        <f t="shared" si="13"/>
        <v>223000</v>
      </c>
      <c r="BO72" s="4"/>
      <c r="BP72" s="6">
        <f>223000-R72</f>
        <v>-348564</v>
      </c>
      <c r="BQ72" s="4"/>
      <c r="BR72" s="6">
        <f t="shared" si="14"/>
        <v>0</v>
      </c>
      <c r="BS72" s="6"/>
      <c r="BT72" s="6">
        <f>+BN72+BR72-3</f>
        <v>222997</v>
      </c>
      <c r="BU72" s="6"/>
      <c r="BV72" s="6">
        <f t="shared" si="16"/>
        <v>348567</v>
      </c>
      <c r="BW72" s="9"/>
    </row>
    <row r="73" spans="1:75" s="21" customFormat="1">
      <c r="A73" s="31"/>
      <c r="B73" s="234" t="s">
        <v>308</v>
      </c>
      <c r="J73" s="8"/>
      <c r="L73" s="141"/>
      <c r="M73" s="9"/>
      <c r="N73" s="9"/>
      <c r="O73" s="9"/>
      <c r="P73" s="9"/>
      <c r="Q73" s="9"/>
      <c r="R73" s="288">
        <f>581625+350016</f>
        <v>931641</v>
      </c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J73" s="9"/>
      <c r="AL73" s="9"/>
      <c r="AN73" s="9"/>
      <c r="AO73" s="9"/>
      <c r="AP73" s="9"/>
      <c r="AQ73" s="9"/>
      <c r="AR73" s="6"/>
      <c r="AS73" s="9"/>
      <c r="AT73" s="6">
        <v>0</v>
      </c>
      <c r="AU73" s="9"/>
      <c r="AV73" s="9"/>
      <c r="AW73" s="9"/>
      <c r="AX73" s="6"/>
      <c r="AY73" s="9"/>
      <c r="AZ73" s="9"/>
      <c r="BA73" s="9"/>
      <c r="BB73" s="9"/>
      <c r="BC73" s="9"/>
      <c r="BD73" s="6">
        <f>208367+214658</f>
        <v>423025</v>
      </c>
      <c r="BE73" s="4"/>
      <c r="BF73" s="9">
        <f>304652+375201-423025</f>
        <v>256828</v>
      </c>
      <c r="BG73" s="4"/>
      <c r="BH73" s="9"/>
      <c r="BI73" s="4"/>
      <c r="BJ73" s="6">
        <f>951000-679853</f>
        <v>271147</v>
      </c>
      <c r="BK73" s="4"/>
      <c r="BL73" s="6"/>
      <c r="BM73" s="4"/>
      <c r="BN73" s="6">
        <f t="shared" si="13"/>
        <v>951000</v>
      </c>
      <c r="BO73" s="4"/>
      <c r="BP73" s="6">
        <f>351000+600000-R73</f>
        <v>19359</v>
      </c>
      <c r="BQ73" s="4"/>
      <c r="BR73" s="6">
        <f t="shared" si="14"/>
        <v>0</v>
      </c>
      <c r="BS73" s="6"/>
      <c r="BT73" s="6">
        <f t="shared" si="15"/>
        <v>951000</v>
      </c>
      <c r="BU73" s="6"/>
      <c r="BV73" s="6">
        <f t="shared" si="16"/>
        <v>-19359</v>
      </c>
      <c r="BW73" s="9"/>
    </row>
    <row r="74" spans="1:75" s="21" customFormat="1">
      <c r="A74" s="31"/>
      <c r="B74" s="234" t="s">
        <v>396</v>
      </c>
      <c r="J74" s="8"/>
      <c r="L74" s="141"/>
      <c r="M74" s="9"/>
      <c r="N74" s="9"/>
      <c r="O74" s="9"/>
      <c r="P74" s="9"/>
      <c r="Q74" s="9"/>
      <c r="R74" s="288">
        <v>6297865</v>
      </c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J74" s="9"/>
      <c r="AL74" s="9"/>
      <c r="AN74" s="9"/>
      <c r="AO74" s="9"/>
      <c r="AP74" s="9"/>
      <c r="AQ74" s="9"/>
      <c r="AR74" s="6">
        <v>134000</v>
      </c>
      <c r="AS74" s="9"/>
      <c r="AT74" s="6">
        <f>537131+88400</f>
        <v>625531</v>
      </c>
      <c r="AU74" s="9"/>
      <c r="AV74" s="9"/>
      <c r="AW74" s="9"/>
      <c r="AX74" s="6">
        <f>3951728-759531</f>
        <v>3192197</v>
      </c>
      <c r="AY74" s="9"/>
      <c r="AZ74" s="9"/>
      <c r="BA74" s="9"/>
      <c r="BB74" s="9"/>
      <c r="BC74" s="9"/>
      <c r="BD74" s="6">
        <f>18615518-3951728</f>
        <v>14663790</v>
      </c>
      <c r="BE74" s="4"/>
      <c r="BF74" s="9">
        <f>18841458-18615518</f>
        <v>225940</v>
      </c>
      <c r="BG74" s="4"/>
      <c r="BH74" s="9"/>
      <c r="BI74" s="4"/>
      <c r="BJ74" s="6">
        <f>18854000-18841458</f>
        <v>12542</v>
      </c>
      <c r="BK74" s="4"/>
      <c r="BL74" s="6"/>
      <c r="BM74" s="4"/>
      <c r="BN74" s="6">
        <f t="shared" si="13"/>
        <v>18854000</v>
      </c>
      <c r="BO74" s="4"/>
      <c r="BP74" s="6">
        <f>18854000-R74</f>
        <v>12556135</v>
      </c>
      <c r="BQ74" s="4"/>
      <c r="BR74" s="6">
        <f t="shared" si="14"/>
        <v>0</v>
      </c>
      <c r="BS74" s="6"/>
      <c r="BT74" s="6">
        <f t="shared" si="15"/>
        <v>18854000</v>
      </c>
      <c r="BU74" s="6"/>
      <c r="BV74" s="6">
        <f t="shared" si="16"/>
        <v>-12556135</v>
      </c>
      <c r="BW74" s="9"/>
    </row>
    <row r="75" spans="1:75" s="21" customFormat="1">
      <c r="A75" s="31"/>
      <c r="B75" s="234" t="s">
        <v>395</v>
      </c>
      <c r="J75" s="8"/>
      <c r="L75" s="141"/>
      <c r="M75" s="9"/>
      <c r="N75" s="9"/>
      <c r="O75" s="9"/>
      <c r="P75" s="9"/>
      <c r="Q75" s="9"/>
      <c r="R75" s="288">
        <v>868340</v>
      </c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J75" s="9"/>
      <c r="AL75" s="9"/>
      <c r="AN75" s="9"/>
      <c r="AO75" s="9"/>
      <c r="AP75" s="9"/>
      <c r="AQ75" s="9"/>
      <c r="AR75" s="6"/>
      <c r="AS75" s="9"/>
      <c r="AT75" s="6"/>
      <c r="AU75" s="9"/>
      <c r="AV75" s="9"/>
      <c r="AW75" s="9"/>
      <c r="AX75" s="6">
        <v>169550</v>
      </c>
      <c r="AY75" s="9"/>
      <c r="AZ75" s="9"/>
      <c r="BA75" s="9"/>
      <c r="BB75" s="9"/>
      <c r="BC75" s="9"/>
      <c r="BD75" s="6">
        <f>4019526-169550</f>
        <v>3849976</v>
      </c>
      <c r="BE75" s="4"/>
      <c r="BF75" s="9">
        <f>4411227-4019526</f>
        <v>391701</v>
      </c>
      <c r="BG75" s="4"/>
      <c r="BH75" s="9"/>
      <c r="BI75" s="4"/>
      <c r="BJ75" s="6">
        <f>4455000-4411227</f>
        <v>43773</v>
      </c>
      <c r="BK75" s="4"/>
      <c r="BL75" s="6"/>
      <c r="BM75" s="4"/>
      <c r="BN75" s="6">
        <f t="shared" si="13"/>
        <v>4455000</v>
      </c>
      <c r="BO75" s="4"/>
      <c r="BP75" s="6">
        <f>4457000-R75</f>
        <v>3588660</v>
      </c>
      <c r="BQ75" s="4"/>
      <c r="BR75" s="6">
        <f t="shared" si="14"/>
        <v>2000</v>
      </c>
      <c r="BS75" s="6"/>
      <c r="BT75" s="6">
        <f t="shared" si="15"/>
        <v>4457000</v>
      </c>
      <c r="BU75" s="6"/>
      <c r="BV75" s="6">
        <f t="shared" si="16"/>
        <v>-3588660</v>
      </c>
      <c r="BW75" s="9"/>
    </row>
    <row r="76" spans="1:75" s="21" customFormat="1">
      <c r="A76" s="31"/>
      <c r="B76" s="234" t="s">
        <v>309</v>
      </c>
      <c r="J76" s="8"/>
      <c r="L76" s="141"/>
      <c r="M76" s="9"/>
      <c r="N76" s="9"/>
      <c r="O76" s="9"/>
      <c r="P76" s="9"/>
      <c r="Q76" s="9"/>
      <c r="R76" s="288">
        <v>-1225177</v>
      </c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J76" s="9"/>
      <c r="AL76" s="9"/>
      <c r="AN76" s="9"/>
      <c r="AO76" s="9"/>
      <c r="AP76" s="9"/>
      <c r="AQ76" s="9"/>
      <c r="AR76" s="6"/>
      <c r="AS76" s="9"/>
      <c r="AT76" s="6"/>
      <c r="AU76" s="9"/>
      <c r="AV76" s="9"/>
      <c r="AW76" s="9"/>
      <c r="AX76" s="6"/>
      <c r="AY76" s="9"/>
      <c r="AZ76" s="9"/>
      <c r="BA76" s="9"/>
      <c r="BB76" s="9"/>
      <c r="BC76" s="9"/>
      <c r="BD76" s="6"/>
      <c r="BE76" s="4"/>
      <c r="BF76" s="9"/>
      <c r="BG76" s="4"/>
      <c r="BH76" s="9"/>
      <c r="BI76" s="4"/>
      <c r="BJ76" s="6">
        <v>0</v>
      </c>
      <c r="BK76" s="4"/>
      <c r="BL76" s="6">
        <v>0</v>
      </c>
      <c r="BM76" s="4"/>
      <c r="BN76" s="6">
        <f t="shared" si="13"/>
        <v>0</v>
      </c>
      <c r="BO76" s="4"/>
      <c r="BP76" s="6">
        <v>1225177</v>
      </c>
      <c r="BQ76" s="4"/>
      <c r="BR76" s="6">
        <f t="shared" si="14"/>
        <v>0</v>
      </c>
      <c r="BS76" s="6"/>
      <c r="BT76" s="6">
        <f t="shared" si="15"/>
        <v>0</v>
      </c>
      <c r="BU76" s="6"/>
      <c r="BV76" s="6">
        <f t="shared" si="16"/>
        <v>-1225177</v>
      </c>
      <c r="BW76" s="9"/>
    </row>
    <row r="77" spans="1:75" s="21" customFormat="1">
      <c r="A77" s="31"/>
      <c r="B77" s="234" t="s">
        <v>369</v>
      </c>
      <c r="J77" s="8"/>
      <c r="L77" s="141"/>
      <c r="M77" s="9"/>
      <c r="N77" s="9"/>
      <c r="O77" s="9"/>
      <c r="P77" s="9"/>
      <c r="Q77" s="9"/>
      <c r="R77" s="288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J77" s="9"/>
      <c r="AL77" s="9"/>
      <c r="AN77" s="9"/>
      <c r="AO77" s="9"/>
      <c r="AP77" s="9"/>
      <c r="AQ77" s="9"/>
      <c r="AR77" s="6"/>
      <c r="AS77" s="9"/>
      <c r="AT77" s="6">
        <v>29554</v>
      </c>
      <c r="AU77" s="9"/>
      <c r="AV77" s="9"/>
      <c r="AW77" s="9"/>
      <c r="AX77" s="6">
        <f>57585-29554</f>
        <v>28031</v>
      </c>
      <c r="AY77" s="9"/>
      <c r="AZ77" s="9"/>
      <c r="BA77" s="9"/>
      <c r="BB77" s="9"/>
      <c r="BC77" s="9"/>
      <c r="BD77" s="6">
        <f>259919-57585</f>
        <v>202334</v>
      </c>
      <c r="BE77" s="4"/>
      <c r="BF77" s="9">
        <f>286812-259919</f>
        <v>26893</v>
      </c>
      <c r="BG77" s="4"/>
      <c r="BH77" s="9"/>
      <c r="BI77" s="4"/>
      <c r="BJ77" s="6">
        <f>292000-286812</f>
        <v>5188</v>
      </c>
      <c r="BK77" s="4"/>
      <c r="BL77" s="6"/>
      <c r="BM77" s="4"/>
      <c r="BN77" s="6">
        <f t="shared" si="13"/>
        <v>292000</v>
      </c>
      <c r="BO77" s="4"/>
      <c r="BP77" s="6">
        <f>292000-R77</f>
        <v>292000</v>
      </c>
      <c r="BQ77" s="4"/>
      <c r="BR77" s="6">
        <f t="shared" si="14"/>
        <v>0</v>
      </c>
      <c r="BS77" s="6"/>
      <c r="BT77" s="6">
        <f t="shared" si="15"/>
        <v>292000</v>
      </c>
      <c r="BU77" s="6"/>
      <c r="BV77" s="6">
        <f t="shared" si="16"/>
        <v>-292000</v>
      </c>
      <c r="BW77" s="9"/>
    </row>
    <row r="78" spans="1:75" s="21" customFormat="1">
      <c r="A78" s="31"/>
      <c r="B78" s="234" t="s">
        <v>370</v>
      </c>
      <c r="J78" s="8"/>
      <c r="L78" s="141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J78" s="9"/>
      <c r="AL78" s="9"/>
      <c r="AN78" s="9"/>
      <c r="AO78" s="9"/>
      <c r="AP78" s="9"/>
      <c r="AQ78" s="9"/>
      <c r="AR78" s="6"/>
      <c r="AS78" s="9"/>
      <c r="AT78" s="6">
        <v>99225</v>
      </c>
      <c r="AU78" s="9"/>
      <c r="AV78" s="9"/>
      <c r="AW78" s="9"/>
      <c r="AX78" s="6">
        <f>116645-99225</f>
        <v>17420</v>
      </c>
      <c r="AY78" s="9"/>
      <c r="AZ78" s="9"/>
      <c r="BA78" s="9"/>
      <c r="BB78" s="9"/>
      <c r="BC78" s="9"/>
      <c r="BD78" s="6">
        <f>236705-116645</f>
        <v>120060</v>
      </c>
      <c r="BE78" s="4"/>
      <c r="BF78" s="9">
        <f>254882-236705</f>
        <v>18177</v>
      </c>
      <c r="BG78" s="4"/>
      <c r="BH78" s="9"/>
      <c r="BI78" s="4"/>
      <c r="BJ78" s="6">
        <f>251000-254882</f>
        <v>-3882</v>
      </c>
      <c r="BK78" s="4"/>
      <c r="BL78" s="6"/>
      <c r="BM78" s="4"/>
      <c r="BN78" s="6">
        <f t="shared" si="13"/>
        <v>251000</v>
      </c>
      <c r="BO78" s="4"/>
      <c r="BP78" s="9">
        <v>251000</v>
      </c>
      <c r="BQ78" s="4"/>
      <c r="BR78" s="6">
        <f t="shared" si="14"/>
        <v>0</v>
      </c>
      <c r="BS78" s="6"/>
      <c r="BT78" s="6">
        <f t="shared" si="15"/>
        <v>251000</v>
      </c>
      <c r="BU78" s="6"/>
      <c r="BV78" s="6">
        <f t="shared" si="16"/>
        <v>-251000</v>
      </c>
      <c r="BW78" s="9"/>
    </row>
    <row r="79" spans="1:75" s="21" customFormat="1">
      <c r="A79" s="31"/>
      <c r="B79" s="229" t="s">
        <v>371</v>
      </c>
      <c r="J79" s="8"/>
      <c r="L79" s="141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J79" s="9"/>
      <c r="AL79" s="9"/>
      <c r="AN79" s="9"/>
      <c r="AO79" s="9"/>
      <c r="AP79" s="9"/>
      <c r="AQ79" s="9"/>
      <c r="AR79" s="9"/>
      <c r="AS79" s="9"/>
      <c r="AT79" s="9">
        <v>12201</v>
      </c>
      <c r="AU79" s="9"/>
      <c r="AV79" s="9"/>
      <c r="AW79" s="9"/>
      <c r="AX79" s="6">
        <f>77361-12201</f>
        <v>65160</v>
      </c>
      <c r="AY79" s="9"/>
      <c r="AZ79" s="9"/>
      <c r="BA79" s="9"/>
      <c r="BB79" s="9"/>
      <c r="BC79" s="9"/>
      <c r="BD79" s="6">
        <f>421031-77361</f>
        <v>343670</v>
      </c>
      <c r="BE79" s="4"/>
      <c r="BF79" s="9">
        <f>234280-421031</f>
        <v>-186751</v>
      </c>
      <c r="BG79" s="4"/>
      <c r="BH79" s="9"/>
      <c r="BI79" s="4"/>
      <c r="BJ79" s="6">
        <f>240000-234280</f>
        <v>5720</v>
      </c>
      <c r="BK79" s="4"/>
      <c r="BL79" s="6"/>
      <c r="BM79" s="4"/>
      <c r="BN79" s="6">
        <f t="shared" si="13"/>
        <v>240000</v>
      </c>
      <c r="BO79" s="4"/>
      <c r="BP79" s="6">
        <v>-51000</v>
      </c>
      <c r="BQ79" s="4"/>
      <c r="BR79" s="6">
        <f t="shared" si="14"/>
        <v>0</v>
      </c>
      <c r="BS79" s="9"/>
      <c r="BT79" s="6">
        <f t="shared" si="15"/>
        <v>240000</v>
      </c>
      <c r="BU79" s="9"/>
      <c r="BV79" s="6">
        <f t="shared" si="16"/>
        <v>-240000</v>
      </c>
      <c r="BW79" s="9"/>
    </row>
    <row r="80" spans="1:75" s="21" customFormat="1">
      <c r="A80" s="31"/>
      <c r="B80" s="232" t="s">
        <v>311</v>
      </c>
      <c r="J80" s="8"/>
      <c r="L80" s="141"/>
      <c r="M80" s="9"/>
      <c r="N80" s="9"/>
      <c r="O80" s="9"/>
      <c r="P80" s="9"/>
      <c r="Q80" s="9"/>
      <c r="R80" s="9">
        <f>SUM(R56:R79)</f>
        <v>20178205</v>
      </c>
      <c r="S80" s="9">
        <f t="shared" ref="S80:BW80" si="17">SUM(S56:S79)</f>
        <v>0</v>
      </c>
      <c r="T80" s="9">
        <f t="shared" si="17"/>
        <v>0</v>
      </c>
      <c r="U80" s="9">
        <f t="shared" si="17"/>
        <v>0</v>
      </c>
      <c r="V80" s="9">
        <f t="shared" si="17"/>
        <v>0</v>
      </c>
      <c r="W80" s="9">
        <f t="shared" si="17"/>
        <v>0</v>
      </c>
      <c r="X80" s="9">
        <f t="shared" si="17"/>
        <v>0</v>
      </c>
      <c r="Y80" s="9">
        <f t="shared" si="17"/>
        <v>0</v>
      </c>
      <c r="Z80" s="9">
        <f t="shared" si="17"/>
        <v>0</v>
      </c>
      <c r="AA80" s="9">
        <f t="shared" si="17"/>
        <v>0</v>
      </c>
      <c r="AB80" s="9">
        <f t="shared" si="17"/>
        <v>0</v>
      </c>
      <c r="AC80" s="9">
        <f t="shared" si="17"/>
        <v>0</v>
      </c>
      <c r="AD80" s="9">
        <f t="shared" si="17"/>
        <v>0</v>
      </c>
      <c r="AE80" s="9"/>
      <c r="AF80" s="9">
        <f t="shared" si="17"/>
        <v>0</v>
      </c>
      <c r="AG80" s="9"/>
      <c r="AH80" s="9">
        <f t="shared" si="17"/>
        <v>0</v>
      </c>
      <c r="AI80" s="9"/>
      <c r="AJ80" s="9">
        <f t="shared" si="17"/>
        <v>0</v>
      </c>
      <c r="AK80" s="9">
        <f t="shared" si="17"/>
        <v>0</v>
      </c>
      <c r="AL80" s="9">
        <f t="shared" si="17"/>
        <v>0</v>
      </c>
      <c r="AM80" s="9">
        <f t="shared" si="17"/>
        <v>0</v>
      </c>
      <c r="AN80" s="9">
        <f t="shared" si="17"/>
        <v>0</v>
      </c>
      <c r="AO80" s="9">
        <f t="shared" si="17"/>
        <v>0</v>
      </c>
      <c r="AP80" s="9">
        <f t="shared" si="17"/>
        <v>0</v>
      </c>
      <c r="AQ80" s="9">
        <f t="shared" si="17"/>
        <v>0</v>
      </c>
      <c r="AR80" s="9">
        <f t="shared" si="17"/>
        <v>2569929</v>
      </c>
      <c r="AS80" s="9">
        <f t="shared" si="17"/>
        <v>0</v>
      </c>
      <c r="AT80" s="9">
        <f t="shared" si="17"/>
        <v>4657660</v>
      </c>
      <c r="AU80" s="9">
        <f t="shared" si="17"/>
        <v>0</v>
      </c>
      <c r="AV80" s="9">
        <f t="shared" si="17"/>
        <v>0</v>
      </c>
      <c r="AW80" s="9">
        <f t="shared" si="17"/>
        <v>0</v>
      </c>
      <c r="AX80" s="9">
        <f t="shared" si="17"/>
        <v>9133979</v>
      </c>
      <c r="AY80" s="9">
        <f t="shared" si="17"/>
        <v>0</v>
      </c>
      <c r="AZ80" s="9">
        <f t="shared" si="17"/>
        <v>0</v>
      </c>
      <c r="BA80" s="9">
        <f t="shared" si="17"/>
        <v>0</v>
      </c>
      <c r="BB80" s="9">
        <f t="shared" si="17"/>
        <v>0</v>
      </c>
      <c r="BC80" s="9"/>
      <c r="BD80" s="9">
        <f t="shared" si="17"/>
        <v>27716599</v>
      </c>
      <c r="BE80" s="4"/>
      <c r="BF80" s="9">
        <f t="shared" si="17"/>
        <v>1628558</v>
      </c>
      <c r="BG80" s="4"/>
      <c r="BH80" s="9">
        <f t="shared" si="17"/>
        <v>0</v>
      </c>
      <c r="BI80" s="4"/>
      <c r="BJ80" s="9">
        <f t="shared" si="17"/>
        <v>1062916</v>
      </c>
      <c r="BK80" s="4"/>
      <c r="BL80" s="9">
        <f t="shared" si="17"/>
        <v>0</v>
      </c>
      <c r="BM80" s="4"/>
      <c r="BN80" s="9">
        <f t="shared" si="17"/>
        <v>46769641</v>
      </c>
      <c r="BO80" s="4"/>
      <c r="BP80" s="9">
        <f t="shared" si="17"/>
        <v>26477795</v>
      </c>
      <c r="BQ80" s="4"/>
      <c r="BR80" s="9">
        <f t="shared" si="17"/>
        <v>180326</v>
      </c>
      <c r="BS80" s="9">
        <f t="shared" si="17"/>
        <v>0</v>
      </c>
      <c r="BT80" s="9">
        <f t="shared" si="17"/>
        <v>46949964</v>
      </c>
      <c r="BU80" s="9">
        <f t="shared" si="17"/>
        <v>0</v>
      </c>
      <c r="BV80" s="9">
        <f t="shared" si="17"/>
        <v>-26771759</v>
      </c>
      <c r="BW80" s="9">
        <f t="shared" si="17"/>
        <v>0</v>
      </c>
    </row>
    <row r="81" spans="1:75" s="21" customFormat="1">
      <c r="A81" s="31"/>
      <c r="B81" s="232"/>
      <c r="J81" s="8"/>
      <c r="L81" s="141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J81" s="9"/>
      <c r="AL81" s="9"/>
      <c r="AN81" s="9"/>
      <c r="AO81" s="9"/>
      <c r="AP81" s="9"/>
      <c r="AQ81" s="9"/>
      <c r="AR81" s="9"/>
      <c r="AS81" s="9"/>
      <c r="AT81" s="9"/>
      <c r="AU81" s="9"/>
      <c r="AV81" s="9"/>
      <c r="AW81" s="9"/>
      <c r="AX81" s="9"/>
      <c r="AY81" s="9"/>
      <c r="AZ81" s="9"/>
      <c r="BA81" s="9"/>
      <c r="BB81" s="9"/>
      <c r="BC81" s="9"/>
      <c r="BD81" s="9"/>
      <c r="BE81" s="4"/>
      <c r="BF81" s="9"/>
      <c r="BG81" s="4"/>
      <c r="BH81" s="9"/>
      <c r="BI81" s="4"/>
      <c r="BJ81" s="9"/>
      <c r="BK81" s="4"/>
      <c r="BL81" s="9"/>
      <c r="BM81" s="4"/>
      <c r="BN81" s="9"/>
      <c r="BO81" s="4"/>
      <c r="BP81" s="9"/>
      <c r="BQ81" s="4"/>
      <c r="BR81" s="9"/>
      <c r="BS81" s="9"/>
      <c r="BT81" s="9"/>
      <c r="BU81" s="9"/>
      <c r="BV81" s="9"/>
      <c r="BW81" s="9"/>
    </row>
    <row r="82" spans="1:75" s="21" customFormat="1">
      <c r="A82" s="31"/>
      <c r="B82" s="242" t="s">
        <v>313</v>
      </c>
      <c r="J82" s="8"/>
      <c r="L82" s="141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J82" s="9"/>
      <c r="AL82" s="9"/>
      <c r="AN82" s="9"/>
      <c r="AO82" s="9"/>
      <c r="AP82" s="9"/>
      <c r="AQ82" s="9"/>
      <c r="AR82" s="9"/>
      <c r="AS82" s="9"/>
      <c r="AT82" s="9"/>
      <c r="AU82" s="9"/>
      <c r="AV82" s="9"/>
      <c r="AW82" s="9"/>
      <c r="AX82" s="9"/>
      <c r="AY82" s="9"/>
      <c r="AZ82" s="9"/>
      <c r="BA82" s="9"/>
      <c r="BB82" s="9"/>
      <c r="BC82" s="9"/>
      <c r="BD82" s="9"/>
      <c r="BE82" s="4"/>
      <c r="BF82" s="9"/>
      <c r="BG82" s="4"/>
      <c r="BH82" s="9"/>
      <c r="BI82" s="4"/>
      <c r="BJ82" s="9"/>
      <c r="BK82" s="4"/>
      <c r="BL82" s="9"/>
      <c r="BM82" s="4"/>
      <c r="BN82" s="9"/>
      <c r="BO82" s="4"/>
      <c r="BP82" s="9"/>
      <c r="BQ82" s="4"/>
      <c r="BR82" s="9"/>
      <c r="BS82" s="9"/>
      <c r="BT82" s="9"/>
      <c r="BU82" s="9"/>
      <c r="BV82" s="9"/>
      <c r="BW82" s="9"/>
    </row>
    <row r="83" spans="1:75" s="21" customFormat="1">
      <c r="A83" s="31"/>
      <c r="B83" s="236" t="s">
        <v>67</v>
      </c>
      <c r="J83" s="8"/>
      <c r="L83" s="141"/>
      <c r="M83" s="9"/>
      <c r="N83" s="9"/>
      <c r="O83" s="9"/>
      <c r="P83" s="9"/>
      <c r="Q83" s="9"/>
      <c r="R83" s="288">
        <v>5312100</v>
      </c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J83" s="9"/>
      <c r="AL83" s="9"/>
      <c r="AN83" s="9"/>
      <c r="AO83" s="9"/>
      <c r="AP83" s="9"/>
      <c r="AQ83" s="9"/>
      <c r="AR83" s="6">
        <v>28388</v>
      </c>
      <c r="AS83" s="9"/>
      <c r="AT83" s="6">
        <f>791673-28388</f>
        <v>763285</v>
      </c>
      <c r="AU83" s="9"/>
      <c r="AV83" s="9"/>
      <c r="AW83" s="9"/>
      <c r="AX83" s="6">
        <f>3252538-791673</f>
        <v>2460865</v>
      </c>
      <c r="AY83" s="9"/>
      <c r="AZ83" s="9"/>
      <c r="BA83" s="9"/>
      <c r="BB83" s="9"/>
      <c r="BC83" s="9"/>
      <c r="BD83" s="6">
        <f>4470197-3252538</f>
        <v>1217659</v>
      </c>
      <c r="BE83" s="4"/>
      <c r="BF83" s="9">
        <f>4901020-4470197</f>
        <v>430823</v>
      </c>
      <c r="BG83" s="4"/>
      <c r="BH83" s="9"/>
      <c r="BI83" s="4"/>
      <c r="BJ83" s="6">
        <f>4563000-4901020</f>
        <v>-338020</v>
      </c>
      <c r="BK83" s="4"/>
      <c r="BL83" s="6"/>
      <c r="BM83" s="4"/>
      <c r="BN83" s="6">
        <f>SUM(T83:BM83)</f>
        <v>4563000</v>
      </c>
      <c r="BO83" s="4"/>
      <c r="BP83" s="6">
        <f>4660000-R83</f>
        <v>-652100</v>
      </c>
      <c r="BQ83" s="4"/>
      <c r="BR83" s="6">
        <f>IF(+R83-BN83+BP83&gt;0,R83-BN83+BP83,0)</f>
        <v>97000</v>
      </c>
      <c r="BS83" s="6"/>
      <c r="BT83" s="6">
        <f>+BN83+BR83</f>
        <v>4660000</v>
      </c>
      <c r="BU83" s="6"/>
      <c r="BV83" s="6">
        <f>+R83-BT83</f>
        <v>652100</v>
      </c>
      <c r="BW83" s="9"/>
    </row>
    <row r="84" spans="1:75" s="21" customFormat="1">
      <c r="A84" s="31"/>
      <c r="B84" s="229"/>
      <c r="J84" s="8"/>
      <c r="L84" s="141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J84" s="9"/>
      <c r="AL84" s="9"/>
      <c r="AN84" s="9"/>
      <c r="AO84" s="9"/>
      <c r="AP84" s="9"/>
      <c r="AQ84" s="9"/>
      <c r="AR84" s="9"/>
      <c r="AS84" s="9"/>
      <c r="AT84" s="9"/>
      <c r="AU84" s="9"/>
      <c r="AV84" s="9"/>
      <c r="AW84" s="9"/>
      <c r="AX84" s="9"/>
      <c r="AY84" s="9"/>
      <c r="AZ84" s="9"/>
      <c r="BA84" s="9"/>
      <c r="BB84" s="9"/>
      <c r="BC84" s="9"/>
      <c r="BD84" s="9"/>
      <c r="BE84" s="4"/>
      <c r="BF84" s="9"/>
      <c r="BG84" s="4"/>
      <c r="BH84" s="9"/>
      <c r="BI84" s="4"/>
      <c r="BJ84" s="9"/>
      <c r="BK84" s="4"/>
      <c r="BL84" s="9"/>
      <c r="BM84" s="4"/>
      <c r="BN84" s="9"/>
      <c r="BO84" s="4"/>
      <c r="BP84" s="9"/>
      <c r="BQ84" s="4"/>
      <c r="BR84" s="9"/>
      <c r="BS84" s="9"/>
      <c r="BT84" s="9"/>
      <c r="BU84" s="9"/>
      <c r="BV84" s="9"/>
      <c r="BW84" s="9"/>
    </row>
    <row r="85" spans="1:75" s="21" customFormat="1">
      <c r="A85" s="31"/>
      <c r="B85" s="232" t="s">
        <v>312</v>
      </c>
      <c r="J85" s="8"/>
      <c r="L85" s="141"/>
      <c r="M85" s="9"/>
      <c r="N85" s="9"/>
      <c r="O85" s="9"/>
      <c r="P85" s="9"/>
      <c r="Q85" s="9"/>
      <c r="R85" s="9">
        <f t="shared" ref="R85:AD85" si="18">SUM(R83:R84)</f>
        <v>5312100</v>
      </c>
      <c r="S85" s="9">
        <f t="shared" si="18"/>
        <v>0</v>
      </c>
      <c r="T85" s="9">
        <f t="shared" si="18"/>
        <v>0</v>
      </c>
      <c r="U85" s="9">
        <f t="shared" si="18"/>
        <v>0</v>
      </c>
      <c r="V85" s="9">
        <f t="shared" si="18"/>
        <v>0</v>
      </c>
      <c r="W85" s="9">
        <f t="shared" si="18"/>
        <v>0</v>
      </c>
      <c r="X85" s="9">
        <f t="shared" si="18"/>
        <v>0</v>
      </c>
      <c r="Y85" s="9">
        <f t="shared" si="18"/>
        <v>0</v>
      </c>
      <c r="Z85" s="9">
        <f t="shared" si="18"/>
        <v>0</v>
      </c>
      <c r="AA85" s="9">
        <f t="shared" si="18"/>
        <v>0</v>
      </c>
      <c r="AB85" s="9">
        <f t="shared" si="18"/>
        <v>0</v>
      </c>
      <c r="AC85" s="9">
        <f t="shared" si="18"/>
        <v>0</v>
      </c>
      <c r="AD85" s="9">
        <f t="shared" si="18"/>
        <v>0</v>
      </c>
      <c r="AE85" s="9"/>
      <c r="AF85" s="9">
        <f>SUM(AF83:AF84)</f>
        <v>0</v>
      </c>
      <c r="AG85" s="9"/>
      <c r="AH85" s="9">
        <f>SUM(AH83:AH84)</f>
        <v>0</v>
      </c>
      <c r="AI85" s="9"/>
      <c r="AJ85" s="9">
        <f t="shared" ref="AJ85:BB85" si="19">SUM(AJ83:AJ84)</f>
        <v>0</v>
      </c>
      <c r="AK85" s="9">
        <f t="shared" si="19"/>
        <v>0</v>
      </c>
      <c r="AL85" s="9">
        <f t="shared" si="19"/>
        <v>0</v>
      </c>
      <c r="AM85" s="9">
        <f t="shared" si="19"/>
        <v>0</v>
      </c>
      <c r="AN85" s="9">
        <f t="shared" si="19"/>
        <v>0</v>
      </c>
      <c r="AO85" s="9">
        <f t="shared" si="19"/>
        <v>0</v>
      </c>
      <c r="AP85" s="9">
        <f t="shared" si="19"/>
        <v>0</v>
      </c>
      <c r="AQ85" s="9">
        <f t="shared" si="19"/>
        <v>0</v>
      </c>
      <c r="AR85" s="6">
        <f t="shared" si="19"/>
        <v>28388</v>
      </c>
      <c r="AS85" s="9">
        <f t="shared" si="19"/>
        <v>0</v>
      </c>
      <c r="AT85" s="9">
        <f t="shared" si="19"/>
        <v>763285</v>
      </c>
      <c r="AU85" s="9">
        <f t="shared" si="19"/>
        <v>0</v>
      </c>
      <c r="AV85" s="9">
        <f t="shared" si="19"/>
        <v>0</v>
      </c>
      <c r="AW85" s="9">
        <f t="shared" si="19"/>
        <v>0</v>
      </c>
      <c r="AX85" s="9">
        <f t="shared" si="19"/>
        <v>2460865</v>
      </c>
      <c r="AY85" s="9">
        <f t="shared" si="19"/>
        <v>0</v>
      </c>
      <c r="AZ85" s="9">
        <f t="shared" si="19"/>
        <v>0</v>
      </c>
      <c r="BA85" s="9">
        <f t="shared" si="19"/>
        <v>0</v>
      </c>
      <c r="BB85" s="9">
        <f t="shared" si="19"/>
        <v>0</v>
      </c>
      <c r="BC85" s="9"/>
      <c r="BD85" s="9">
        <f>SUM(BD83:BD84)</f>
        <v>1217659</v>
      </c>
      <c r="BE85" s="4"/>
      <c r="BF85" s="9">
        <f>SUM(BF83:BF84)</f>
        <v>430823</v>
      </c>
      <c r="BG85" s="4"/>
      <c r="BH85" s="9">
        <f>SUM(BH83:BH84)</f>
        <v>0</v>
      </c>
      <c r="BI85" s="4"/>
      <c r="BJ85" s="9">
        <f>SUM(BJ83:BJ84)</f>
        <v>-338020</v>
      </c>
      <c r="BK85" s="4"/>
      <c r="BL85" s="9">
        <f>SUM(BL83:BL84)</f>
        <v>0</v>
      </c>
      <c r="BM85" s="4"/>
      <c r="BN85" s="9">
        <f>SUM(BN83:BN84)</f>
        <v>4563000</v>
      </c>
      <c r="BO85" s="4"/>
      <c r="BP85" s="9">
        <f>SUM(BP83:BP84)</f>
        <v>-652100</v>
      </c>
      <c r="BQ85" s="4"/>
      <c r="BR85" s="9">
        <f>SUM(BR83:BR84)</f>
        <v>97000</v>
      </c>
      <c r="BS85" s="9">
        <f>SUM(BS83:BS84)</f>
        <v>0</v>
      </c>
      <c r="BT85" s="9">
        <f>SUM(BT83:BT84)</f>
        <v>4660000</v>
      </c>
      <c r="BU85" s="9">
        <f>SUM(BU83:BU84)</f>
        <v>0</v>
      </c>
      <c r="BV85" s="6">
        <f>+R85-BT85</f>
        <v>652100</v>
      </c>
      <c r="BW85" s="9"/>
    </row>
    <row r="86" spans="1:75" s="21" customFormat="1">
      <c r="A86" s="31"/>
      <c r="B86" s="242" t="s">
        <v>400</v>
      </c>
      <c r="J86" s="8"/>
      <c r="L86" s="141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6"/>
      <c r="AS86" s="9"/>
      <c r="AT86" s="9"/>
      <c r="AU86" s="9"/>
      <c r="AV86" s="9"/>
      <c r="AW86" s="9"/>
      <c r="AX86" s="9"/>
      <c r="AY86" s="9"/>
      <c r="AZ86" s="9"/>
      <c r="BA86" s="9"/>
      <c r="BB86" s="9"/>
      <c r="BC86" s="9"/>
      <c r="BD86" s="6">
        <v>0</v>
      </c>
      <c r="BE86" s="4"/>
      <c r="BF86" s="9"/>
      <c r="BG86" s="4"/>
      <c r="BH86" s="9"/>
      <c r="BI86" s="4"/>
      <c r="BJ86" s="9"/>
      <c r="BK86" s="4"/>
      <c r="BL86" s="9"/>
      <c r="BM86" s="4"/>
      <c r="BN86" s="6">
        <f>SUM(T86:BM86)</f>
        <v>0</v>
      </c>
      <c r="BO86" s="4"/>
      <c r="BP86" s="9"/>
      <c r="BQ86" s="4"/>
      <c r="BR86" s="6"/>
      <c r="BS86" s="9">
        <f>SUM(BS84:BS85)</f>
        <v>0</v>
      </c>
      <c r="BT86" s="6">
        <v>0</v>
      </c>
      <c r="BU86" s="9">
        <f>SUM(BU84:BU85)</f>
        <v>0</v>
      </c>
      <c r="BV86" s="6">
        <f>+R86-BT86</f>
        <v>0</v>
      </c>
      <c r="BW86" s="9"/>
    </row>
    <row r="87" spans="1:75" s="21" customFormat="1">
      <c r="A87" s="31"/>
      <c r="B87" s="242" t="s">
        <v>323</v>
      </c>
      <c r="J87" s="8"/>
      <c r="L87" s="141"/>
      <c r="M87" s="9"/>
      <c r="N87" s="9"/>
      <c r="O87" s="9"/>
      <c r="P87" s="9"/>
      <c r="Q87" s="9"/>
      <c r="R87" s="9">
        <v>0</v>
      </c>
      <c r="S87" s="9"/>
      <c r="T87" s="9"/>
      <c r="U87" s="9"/>
      <c r="V87" s="9">
        <v>0</v>
      </c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>
        <f>9438462-865389</f>
        <v>8573073</v>
      </c>
      <c r="AQ87" s="9"/>
      <c r="AR87" s="6">
        <f>10717074-3623155+41531</f>
        <v>7135450</v>
      </c>
      <c r="AS87" s="9"/>
      <c r="AT87" s="9">
        <f>-8600128+744251</f>
        <v>-7855877</v>
      </c>
      <c r="AU87" s="9"/>
      <c r="AV87" s="9">
        <v>12922196</v>
      </c>
      <c r="AW87" s="9"/>
      <c r="AX87" s="9">
        <f>-20774842+5385733+11527832</f>
        <v>-3861277</v>
      </c>
      <c r="AY87" s="9"/>
      <c r="AZ87" s="9">
        <v>19510321</v>
      </c>
      <c r="BA87" s="9"/>
      <c r="BB87" s="9"/>
      <c r="BC87" s="9"/>
      <c r="BD87" s="9">
        <f>-40702546+11142580-235398</f>
        <v>-29795364</v>
      </c>
      <c r="BE87" s="4"/>
      <c r="BF87" s="9">
        <f>-3652153+977079</f>
        <v>-2675074</v>
      </c>
      <c r="BG87" s="4"/>
      <c r="BH87" s="9"/>
      <c r="BI87" s="4"/>
      <c r="BJ87" s="9">
        <v>-1097729</v>
      </c>
      <c r="BK87" s="4"/>
      <c r="BL87" s="9"/>
      <c r="BM87" s="4"/>
      <c r="BN87" s="9">
        <f>SUM(T87:BM87)</f>
        <v>2855719</v>
      </c>
      <c r="BO87" s="4"/>
      <c r="BP87" s="9">
        <v>0</v>
      </c>
      <c r="BQ87" s="4"/>
      <c r="BR87" s="22">
        <f>-2855719-292964</f>
        <v>-3148683</v>
      </c>
      <c r="BS87" s="9">
        <f>SUM(BS85:BS86)</f>
        <v>0</v>
      </c>
      <c r="BT87" s="6">
        <f>+BN87+BR87</f>
        <v>-292964</v>
      </c>
      <c r="BU87" s="9">
        <f>SUM(BU85:BU86)</f>
        <v>0</v>
      </c>
      <c r="BV87" s="6">
        <f>+R87-BT87</f>
        <v>292964</v>
      </c>
      <c r="BW87" s="9"/>
    </row>
    <row r="88" spans="1:75" s="21" customFormat="1">
      <c r="A88" s="31"/>
      <c r="B88" s="242" t="s">
        <v>322</v>
      </c>
      <c r="J88" s="8"/>
      <c r="L88" s="141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J88" s="9"/>
      <c r="AL88" s="9"/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/>
      <c r="AY88" s="9"/>
      <c r="AZ88" s="9"/>
      <c r="BA88" s="9"/>
      <c r="BB88" s="9"/>
      <c r="BC88" s="9"/>
      <c r="BD88" s="9"/>
      <c r="BE88" s="4"/>
      <c r="BF88" s="9"/>
      <c r="BG88" s="4"/>
      <c r="BH88" s="9"/>
      <c r="BI88" s="4"/>
      <c r="BJ88" s="9"/>
      <c r="BK88" s="4"/>
      <c r="BL88" s="9"/>
      <c r="BM88" s="4"/>
      <c r="BN88" s="9"/>
      <c r="BO88" s="4"/>
      <c r="BP88" s="9"/>
      <c r="BQ88" s="4"/>
      <c r="BR88" s="9"/>
      <c r="BS88" s="9"/>
      <c r="BT88" s="6"/>
      <c r="BU88" s="9"/>
      <c r="BV88" s="6">
        <v>0</v>
      </c>
      <c r="BW88" s="9"/>
    </row>
    <row r="89" spans="1:75" s="105" customFormat="1">
      <c r="A89" s="54"/>
      <c r="B89" s="238" t="s">
        <v>243</v>
      </c>
      <c r="J89" s="155"/>
      <c r="L89" s="142"/>
      <c r="M89" s="13"/>
      <c r="N89" s="239">
        <f>SUM(N37:N88)</f>
        <v>0</v>
      </c>
      <c r="O89" s="13"/>
      <c r="P89" s="239">
        <f>SUM(P37:P88)</f>
        <v>0</v>
      </c>
      <c r="Q89" s="13"/>
      <c r="R89" s="239">
        <f t="shared" ref="R89:AD89" si="20">R85+R80+R53+R46+R87</f>
        <v>50944642</v>
      </c>
      <c r="S89" s="239">
        <f t="shared" si="20"/>
        <v>0</v>
      </c>
      <c r="T89" s="239">
        <f t="shared" si="20"/>
        <v>0</v>
      </c>
      <c r="U89" s="239">
        <f t="shared" si="20"/>
        <v>0</v>
      </c>
      <c r="V89" s="239">
        <f t="shared" si="20"/>
        <v>0</v>
      </c>
      <c r="W89" s="239">
        <f t="shared" si="20"/>
        <v>0</v>
      </c>
      <c r="X89" s="239">
        <f t="shared" si="20"/>
        <v>0</v>
      </c>
      <c r="Y89" s="239">
        <f t="shared" si="20"/>
        <v>0</v>
      </c>
      <c r="Z89" s="239">
        <f t="shared" si="20"/>
        <v>0</v>
      </c>
      <c r="AA89" s="239">
        <f t="shared" si="20"/>
        <v>0</v>
      </c>
      <c r="AB89" s="239">
        <f t="shared" si="20"/>
        <v>0</v>
      </c>
      <c r="AC89" s="239">
        <f t="shared" si="20"/>
        <v>0</v>
      </c>
      <c r="AD89" s="239">
        <f t="shared" si="20"/>
        <v>0</v>
      </c>
      <c r="AE89" s="239"/>
      <c r="AF89" s="239">
        <f>AF85+AF80+AF53+AF46+AF87</f>
        <v>0</v>
      </c>
      <c r="AG89" s="239"/>
      <c r="AH89" s="239">
        <f>AH85+AH80+AH53+AH46+AH87</f>
        <v>0</v>
      </c>
      <c r="AI89" s="239"/>
      <c r="AJ89" s="239">
        <f t="shared" ref="AJ89:BW89" si="21">AJ85+AJ80+AJ53+AJ46+AJ87</f>
        <v>0</v>
      </c>
      <c r="AK89" s="239">
        <f t="shared" si="21"/>
        <v>0</v>
      </c>
      <c r="AL89" s="239">
        <f t="shared" si="21"/>
        <v>0</v>
      </c>
      <c r="AM89" s="239">
        <f t="shared" si="21"/>
        <v>0</v>
      </c>
      <c r="AN89" s="239">
        <f t="shared" si="21"/>
        <v>0</v>
      </c>
      <c r="AO89" s="239">
        <f t="shared" si="21"/>
        <v>0</v>
      </c>
      <c r="AP89" s="239">
        <f t="shared" si="21"/>
        <v>9438462</v>
      </c>
      <c r="AQ89" s="239">
        <f t="shared" si="21"/>
        <v>0</v>
      </c>
      <c r="AR89" s="239">
        <f t="shared" si="21"/>
        <v>10717074</v>
      </c>
      <c r="AS89" s="239">
        <f t="shared" si="21"/>
        <v>0</v>
      </c>
      <c r="AT89" s="239">
        <f t="shared" si="21"/>
        <v>744251</v>
      </c>
      <c r="AU89" s="239">
        <f t="shared" si="21"/>
        <v>0</v>
      </c>
      <c r="AV89" s="239">
        <f t="shared" si="21"/>
        <v>12922196</v>
      </c>
      <c r="AW89" s="239">
        <f t="shared" si="21"/>
        <v>0</v>
      </c>
      <c r="AX89" s="239">
        <f t="shared" si="21"/>
        <v>11527832</v>
      </c>
      <c r="AY89" s="239">
        <f t="shared" si="21"/>
        <v>0</v>
      </c>
      <c r="AZ89" s="239">
        <f t="shared" si="21"/>
        <v>19510321</v>
      </c>
      <c r="BA89" s="239">
        <f t="shared" si="21"/>
        <v>0</v>
      </c>
      <c r="BB89" s="239">
        <f t="shared" si="21"/>
        <v>0</v>
      </c>
      <c r="BC89" s="239"/>
      <c r="BD89" s="239">
        <f t="shared" si="21"/>
        <v>10907182</v>
      </c>
      <c r="BE89" s="4"/>
      <c r="BF89" s="239">
        <f t="shared" si="21"/>
        <v>977079</v>
      </c>
      <c r="BG89" s="4"/>
      <c r="BH89" s="239">
        <f t="shared" si="21"/>
        <v>0</v>
      </c>
      <c r="BI89" s="4"/>
      <c r="BJ89" s="239">
        <f t="shared" si="21"/>
        <v>0</v>
      </c>
      <c r="BK89" s="4"/>
      <c r="BL89" s="239">
        <f>BL85+BL80+BL53+BL46+BL87</f>
        <v>0</v>
      </c>
      <c r="BM89" s="4"/>
      <c r="BN89" s="239">
        <f>BN85+BN80+BN53+BN46+BN87+BN86</f>
        <v>76744397</v>
      </c>
      <c r="BO89" s="4"/>
      <c r="BP89" s="239">
        <f t="shared" si="21"/>
        <v>24286358</v>
      </c>
      <c r="BQ89" s="4"/>
      <c r="BR89" s="239">
        <f>BR85+BR80+BR53+BR46+BR87+BR86</f>
        <v>-1512394</v>
      </c>
      <c r="BS89" s="239">
        <f t="shared" si="21"/>
        <v>0</v>
      </c>
      <c r="BT89" s="239">
        <f>BT85+BT80+BT53+BT46+BT87+BT86+BT88</f>
        <v>75232000</v>
      </c>
      <c r="BU89" s="239">
        <f t="shared" si="21"/>
        <v>0</v>
      </c>
      <c r="BV89" s="239">
        <f>BV85+BV80+BV53+BV46+BV87+BV86</f>
        <v>-24287358</v>
      </c>
      <c r="BW89" s="239">
        <f t="shared" si="21"/>
        <v>0</v>
      </c>
    </row>
    <row r="90" spans="1:75">
      <c r="A90" s="100"/>
      <c r="B90" s="17"/>
      <c r="E90" s="4"/>
      <c r="G90" s="4"/>
      <c r="I90" s="4"/>
      <c r="L90" s="138"/>
      <c r="M90" s="6"/>
      <c r="O90" s="6"/>
      <c r="Q90" s="6"/>
      <c r="S90" s="6"/>
      <c r="T90" s="6"/>
      <c r="U90" s="6"/>
      <c r="V90" s="6"/>
      <c r="X90" s="6"/>
      <c r="Z90" s="6"/>
      <c r="AB90" s="6"/>
      <c r="AD90" s="6"/>
      <c r="AI90" s="4"/>
      <c r="BJ90" s="6"/>
      <c r="BL90" s="6"/>
      <c r="BP90" s="6"/>
      <c r="BW90" s="6"/>
    </row>
    <row r="91" spans="1:75">
      <c r="A91" s="58" t="s">
        <v>227</v>
      </c>
      <c r="B91" s="11"/>
      <c r="E91" s="4"/>
      <c r="G91" s="4"/>
      <c r="I91" s="4"/>
      <c r="L91" s="138"/>
      <c r="M91" s="6"/>
      <c r="O91" s="6"/>
      <c r="Q91" s="6"/>
      <c r="S91" s="6"/>
      <c r="T91" s="6"/>
      <c r="U91" s="6"/>
      <c r="V91" s="6"/>
      <c r="X91" s="6"/>
      <c r="Z91" s="6"/>
      <c r="AB91" s="6"/>
      <c r="AD91" s="6"/>
      <c r="AI91" s="4"/>
      <c r="BJ91" s="6"/>
      <c r="BL91" s="6"/>
      <c r="BP91" s="6"/>
      <c r="BW91" s="6"/>
    </row>
    <row r="92" spans="1:75">
      <c r="A92" s="17"/>
      <c r="B92" s="17" t="s">
        <v>228</v>
      </c>
      <c r="E92" s="4"/>
      <c r="G92" s="4"/>
      <c r="I92" s="4"/>
      <c r="J92" s="5" t="s">
        <v>236</v>
      </c>
      <c r="L92" s="138" t="s">
        <v>202</v>
      </c>
      <c r="M92" s="6"/>
      <c r="N92" s="6">
        <v>0</v>
      </c>
      <c r="O92" s="6"/>
      <c r="P92" s="6">
        <v>0</v>
      </c>
      <c r="Q92" s="6"/>
      <c r="R92" s="6">
        <v>935200</v>
      </c>
      <c r="S92" s="6"/>
      <c r="T92" s="6">
        <v>0</v>
      </c>
      <c r="U92" s="22"/>
      <c r="V92" s="6">
        <v>0</v>
      </c>
      <c r="W92" s="22"/>
      <c r="X92" s="6">
        <v>0</v>
      </c>
      <c r="Y92" s="22"/>
      <c r="Z92" s="6">
        <v>0</v>
      </c>
      <c r="AA92" s="22"/>
      <c r="AB92" s="6">
        <v>0</v>
      </c>
      <c r="AC92" s="22"/>
      <c r="AD92" s="6">
        <v>0</v>
      </c>
      <c r="AE92" s="22"/>
      <c r="AF92" s="6">
        <v>0</v>
      </c>
      <c r="AG92" s="22"/>
      <c r="AH92" s="6">
        <f>935200/12</f>
        <v>77933.333333333328</v>
      </c>
      <c r="AI92" s="4"/>
      <c r="AJ92" s="6">
        <v>77933.350000000006</v>
      </c>
      <c r="AL92" s="6">
        <v>77933</v>
      </c>
      <c r="AN92" s="6">
        <v>77933.33</v>
      </c>
      <c r="AO92" s="22"/>
      <c r="AP92" s="6">
        <v>82933.33</v>
      </c>
      <c r="AQ92" s="22"/>
      <c r="AR92" s="6">
        <v>77933.34</v>
      </c>
      <c r="AS92" s="22"/>
      <c r="AT92" s="6">
        <v>77933.33</v>
      </c>
      <c r="AV92" s="6">
        <v>77933.33</v>
      </c>
      <c r="AX92" s="6">
        <v>77933.33</v>
      </c>
      <c r="AZ92" s="6">
        <v>77933</v>
      </c>
      <c r="BB92" s="6">
        <v>77933.33</v>
      </c>
      <c r="BD92" s="6">
        <v>77933.33</v>
      </c>
      <c r="BH92" s="6">
        <v>0</v>
      </c>
      <c r="BJ92" s="6">
        <v>6741</v>
      </c>
      <c r="BL92" s="6">
        <v>0</v>
      </c>
      <c r="BN92" s="6">
        <f t="shared" ref="BN92:BN97" si="22">SUM(T92:BM92)</f>
        <v>946940.33333333314</v>
      </c>
      <c r="BP92" s="6"/>
      <c r="BR92" s="6">
        <f t="shared" ref="BR92:BR98" si="23">IF(+R92-BN92+BP92&gt;0,R92-BN92+BP92,0)</f>
        <v>0</v>
      </c>
      <c r="BT92" s="6">
        <f t="shared" ref="BT92:BT97" si="24">+BN92+BR92</f>
        <v>946940.33333333314</v>
      </c>
      <c r="BV92" s="6">
        <f t="shared" ref="BV92:BV97" si="25">+R92-BT92</f>
        <v>-11740.333333333139</v>
      </c>
      <c r="BW92" s="6"/>
    </row>
    <row r="93" spans="1:75">
      <c r="A93" s="17"/>
      <c r="B93" s="17" t="s">
        <v>230</v>
      </c>
      <c r="E93" s="4"/>
      <c r="G93" s="4"/>
      <c r="I93" s="4"/>
      <c r="J93" s="5" t="s">
        <v>230</v>
      </c>
      <c r="L93" s="138" t="s">
        <v>202</v>
      </c>
      <c r="M93" s="6"/>
      <c r="N93" s="6">
        <v>0</v>
      </c>
      <c r="O93" s="6"/>
      <c r="P93" s="6">
        <v>0</v>
      </c>
      <c r="Q93" s="6"/>
      <c r="R93" s="6">
        <v>2824800</v>
      </c>
      <c r="S93" s="6"/>
      <c r="T93" s="6">
        <v>0</v>
      </c>
      <c r="U93" s="22"/>
      <c r="V93" s="6">
        <v>0</v>
      </c>
      <c r="W93" s="22"/>
      <c r="X93" s="6">
        <v>0</v>
      </c>
      <c r="Y93" s="22"/>
      <c r="Z93" s="6">
        <v>0</v>
      </c>
      <c r="AA93" s="22"/>
      <c r="AB93" s="6">
        <v>0</v>
      </c>
      <c r="AC93" s="22"/>
      <c r="AD93" s="6">
        <v>0</v>
      </c>
      <c r="AE93" s="22"/>
      <c r="AF93" s="6">
        <v>0</v>
      </c>
      <c r="AG93" s="22"/>
      <c r="AH93" s="6">
        <f>2824800/12</f>
        <v>235400</v>
      </c>
      <c r="AI93" s="4"/>
      <c r="AJ93" s="6">
        <v>235400</v>
      </c>
      <c r="AL93" s="6">
        <v>235399</v>
      </c>
      <c r="AN93" s="6">
        <v>235399</v>
      </c>
      <c r="AO93" s="22"/>
      <c r="AP93" s="6">
        <v>235399</v>
      </c>
      <c r="AQ93" s="22"/>
      <c r="AR93" s="6">
        <v>235398</v>
      </c>
      <c r="AS93" s="22"/>
      <c r="AT93" s="6">
        <v>235399</v>
      </c>
      <c r="AV93" s="6">
        <v>235400</v>
      </c>
      <c r="AX93" s="6">
        <v>235400</v>
      </c>
      <c r="AZ93" s="6">
        <v>235400</v>
      </c>
      <c r="BB93" s="6">
        <v>235400</v>
      </c>
      <c r="BD93" s="6">
        <v>235398</v>
      </c>
      <c r="BH93" s="6">
        <v>0</v>
      </c>
      <c r="BJ93" s="6">
        <v>0</v>
      </c>
      <c r="BL93" s="6">
        <v>0</v>
      </c>
      <c r="BN93" s="6">
        <f t="shared" si="22"/>
        <v>2824792</v>
      </c>
      <c r="BP93" s="6">
        <v>-8</v>
      </c>
      <c r="BR93" s="6">
        <f t="shared" si="23"/>
        <v>0</v>
      </c>
      <c r="BT93" s="6">
        <f t="shared" si="24"/>
        <v>2824792</v>
      </c>
      <c r="BV93" s="6">
        <f t="shared" si="25"/>
        <v>8</v>
      </c>
      <c r="BW93" s="6"/>
    </row>
    <row r="94" spans="1:75">
      <c r="A94" s="17"/>
      <c r="B94" s="17" t="s">
        <v>231</v>
      </c>
      <c r="E94" s="4"/>
      <c r="G94" s="4"/>
      <c r="I94" s="4"/>
      <c r="J94" s="5" t="s">
        <v>236</v>
      </c>
      <c r="L94" s="138" t="s">
        <v>202</v>
      </c>
      <c r="M94" s="6"/>
      <c r="N94" s="6">
        <v>0</v>
      </c>
      <c r="O94" s="6"/>
      <c r="P94" s="6">
        <v>0</v>
      </c>
      <c r="Q94" s="6"/>
      <c r="R94" s="6">
        <v>0</v>
      </c>
      <c r="S94" s="6"/>
      <c r="T94" s="6">
        <v>0</v>
      </c>
      <c r="U94" s="22"/>
      <c r="V94" s="6">
        <v>0</v>
      </c>
      <c r="W94" s="22"/>
      <c r="X94" s="6">
        <v>0</v>
      </c>
      <c r="Y94" s="22"/>
      <c r="Z94" s="6">
        <v>0</v>
      </c>
      <c r="AA94" s="22"/>
      <c r="AB94" s="6">
        <v>0</v>
      </c>
      <c r="AC94" s="22"/>
      <c r="AD94" s="6">
        <v>0</v>
      </c>
      <c r="AE94" s="22"/>
      <c r="AF94" s="6">
        <v>0</v>
      </c>
      <c r="AG94" s="22"/>
      <c r="AH94" s="6">
        <v>0</v>
      </c>
      <c r="AI94" s="4"/>
      <c r="AJ94" s="6">
        <v>0</v>
      </c>
      <c r="AL94" s="224">
        <v>0</v>
      </c>
      <c r="AN94" s="6">
        <v>0</v>
      </c>
      <c r="AO94" s="22"/>
      <c r="AP94" s="6">
        <v>0</v>
      </c>
      <c r="AQ94" s="22"/>
      <c r="AR94" s="6">
        <v>0</v>
      </c>
      <c r="AS94" s="22"/>
      <c r="AT94" s="6">
        <v>0</v>
      </c>
      <c r="AV94" s="6">
        <v>0</v>
      </c>
      <c r="AX94" s="6">
        <v>0</v>
      </c>
      <c r="AZ94" s="6">
        <v>0</v>
      </c>
      <c r="BB94" s="6">
        <v>0</v>
      </c>
      <c r="BD94" s="6">
        <v>0</v>
      </c>
      <c r="BF94" s="6">
        <v>0</v>
      </c>
      <c r="BH94" s="6">
        <v>0</v>
      </c>
      <c r="BJ94" s="6">
        <v>0</v>
      </c>
      <c r="BL94" s="6">
        <v>0</v>
      </c>
      <c r="BN94" s="6">
        <f t="shared" si="22"/>
        <v>0</v>
      </c>
      <c r="BP94" s="6">
        <v>0</v>
      </c>
      <c r="BR94" s="6">
        <f t="shared" si="23"/>
        <v>0</v>
      </c>
      <c r="BT94" s="6">
        <f t="shared" si="24"/>
        <v>0</v>
      </c>
      <c r="BV94" s="6">
        <f t="shared" si="25"/>
        <v>0</v>
      </c>
      <c r="BW94" s="6"/>
    </row>
    <row r="95" spans="1:75">
      <c r="A95" s="17"/>
      <c r="B95" s="17" t="s">
        <v>232</v>
      </c>
      <c r="E95" s="4"/>
      <c r="G95" s="4"/>
      <c r="I95" s="4"/>
      <c r="J95" s="5" t="s">
        <v>236</v>
      </c>
      <c r="L95" s="138" t="s">
        <v>202</v>
      </c>
      <c r="M95" s="6"/>
      <c r="N95" s="12">
        <v>0</v>
      </c>
      <c r="O95" s="12"/>
      <c r="P95" s="12">
        <v>0</v>
      </c>
      <c r="Q95" s="12"/>
      <c r="R95" s="6">
        <f>+N95+P95</f>
        <v>0</v>
      </c>
      <c r="S95" s="12"/>
      <c r="T95" s="12">
        <v>0</v>
      </c>
      <c r="U95" s="80"/>
      <c r="V95" s="12">
        <v>0</v>
      </c>
      <c r="W95" s="80"/>
      <c r="X95" s="12">
        <v>0</v>
      </c>
      <c r="Y95" s="80"/>
      <c r="Z95" s="12">
        <v>0</v>
      </c>
      <c r="AA95" s="80"/>
      <c r="AB95" s="12">
        <v>0</v>
      </c>
      <c r="AC95" s="80"/>
      <c r="AD95" s="12">
        <v>0</v>
      </c>
      <c r="AE95" s="80"/>
      <c r="AF95" s="12">
        <v>0</v>
      </c>
      <c r="AG95" s="80"/>
      <c r="AH95" s="12">
        <v>0</v>
      </c>
      <c r="AI95" s="4"/>
      <c r="AJ95" s="12">
        <v>0</v>
      </c>
      <c r="AL95" s="12">
        <v>0</v>
      </c>
      <c r="AN95" s="12">
        <v>0</v>
      </c>
      <c r="AO95" s="80"/>
      <c r="AP95" s="12">
        <v>0</v>
      </c>
      <c r="AQ95" s="80"/>
      <c r="AR95" s="12">
        <v>0</v>
      </c>
      <c r="AS95" s="80"/>
      <c r="AT95" s="12">
        <v>0</v>
      </c>
      <c r="AU95" s="12"/>
      <c r="AV95" s="12">
        <v>0</v>
      </c>
      <c r="AW95" s="12"/>
      <c r="AX95" s="12">
        <v>0</v>
      </c>
      <c r="AY95" s="12"/>
      <c r="AZ95" s="12">
        <v>0</v>
      </c>
      <c r="BA95" s="12"/>
      <c r="BB95" s="12">
        <v>0</v>
      </c>
      <c r="BC95" s="12"/>
      <c r="BD95" s="12">
        <v>0</v>
      </c>
      <c r="BF95" s="12">
        <v>0</v>
      </c>
      <c r="BH95" s="12">
        <v>0</v>
      </c>
      <c r="BJ95" s="12">
        <v>0</v>
      </c>
      <c r="BL95" s="12">
        <v>0</v>
      </c>
      <c r="BN95" s="12">
        <f t="shared" si="22"/>
        <v>0</v>
      </c>
      <c r="BP95" s="12">
        <v>0</v>
      </c>
      <c r="BR95" s="6">
        <f t="shared" si="23"/>
        <v>0</v>
      </c>
      <c r="BS95" s="12"/>
      <c r="BT95" s="6">
        <f t="shared" si="24"/>
        <v>0</v>
      </c>
      <c r="BU95" s="12"/>
      <c r="BV95" s="6">
        <f t="shared" si="25"/>
        <v>0</v>
      </c>
      <c r="BW95" s="12"/>
    </row>
    <row r="96" spans="1:75" s="11" customFormat="1">
      <c r="A96" s="17"/>
      <c r="B96" s="17" t="s">
        <v>233</v>
      </c>
      <c r="J96" s="157" t="s">
        <v>236</v>
      </c>
      <c r="L96" s="138" t="s">
        <v>202</v>
      </c>
      <c r="M96" s="12"/>
      <c r="N96" s="12">
        <v>0</v>
      </c>
      <c r="O96" s="12"/>
      <c r="P96" s="12">
        <v>0</v>
      </c>
      <c r="Q96" s="12"/>
      <c r="R96" s="6">
        <f>+N96+P96</f>
        <v>0</v>
      </c>
      <c r="S96" s="12"/>
      <c r="T96" s="12">
        <v>0</v>
      </c>
      <c r="U96" s="80"/>
      <c r="V96" s="12">
        <v>0</v>
      </c>
      <c r="W96" s="80"/>
      <c r="X96" s="12">
        <v>0</v>
      </c>
      <c r="Y96" s="80"/>
      <c r="Z96" s="12">
        <v>0</v>
      </c>
      <c r="AA96" s="80"/>
      <c r="AB96" s="12">
        <v>0</v>
      </c>
      <c r="AC96" s="80"/>
      <c r="AD96" s="12">
        <v>0</v>
      </c>
      <c r="AE96" s="80"/>
      <c r="AF96" s="12">
        <v>0</v>
      </c>
      <c r="AG96" s="80"/>
      <c r="AH96" s="12">
        <v>0</v>
      </c>
      <c r="AI96" s="4"/>
      <c r="AJ96" s="12">
        <v>0</v>
      </c>
      <c r="AK96" s="4"/>
      <c r="AL96" s="12">
        <v>0</v>
      </c>
      <c r="AM96" s="4"/>
      <c r="AN96" s="12">
        <v>0</v>
      </c>
      <c r="AO96" s="80"/>
      <c r="AP96" s="12">
        <v>0</v>
      </c>
      <c r="AQ96" s="80"/>
      <c r="AR96" s="12">
        <v>0</v>
      </c>
      <c r="AS96" s="80"/>
      <c r="AT96" s="12">
        <v>0</v>
      </c>
      <c r="AU96" s="12"/>
      <c r="AV96" s="12">
        <v>0</v>
      </c>
      <c r="AW96" s="12"/>
      <c r="AX96" s="12">
        <v>0</v>
      </c>
      <c r="AY96" s="12"/>
      <c r="AZ96" s="12">
        <v>0</v>
      </c>
      <c r="BA96" s="12"/>
      <c r="BB96" s="12">
        <v>0</v>
      </c>
      <c r="BC96" s="12"/>
      <c r="BD96" s="12">
        <v>0</v>
      </c>
      <c r="BE96" s="4"/>
      <c r="BF96" s="12">
        <v>0</v>
      </c>
      <c r="BG96" s="4"/>
      <c r="BH96" s="12">
        <v>0</v>
      </c>
      <c r="BI96" s="4"/>
      <c r="BJ96" s="12">
        <v>0</v>
      </c>
      <c r="BK96" s="4"/>
      <c r="BL96" s="12">
        <v>0</v>
      </c>
      <c r="BM96" s="4"/>
      <c r="BN96" s="12">
        <f t="shared" si="22"/>
        <v>0</v>
      </c>
      <c r="BO96" s="4"/>
      <c r="BP96" s="12">
        <v>0</v>
      </c>
      <c r="BQ96" s="4"/>
      <c r="BR96" s="6">
        <f t="shared" si="23"/>
        <v>0</v>
      </c>
      <c r="BS96" s="12"/>
      <c r="BT96" s="6">
        <f t="shared" si="24"/>
        <v>0</v>
      </c>
      <c r="BU96" s="12"/>
      <c r="BV96" s="6">
        <f t="shared" si="25"/>
        <v>0</v>
      </c>
      <c r="BW96" s="12"/>
    </row>
    <row r="97" spans="1:75">
      <c r="A97" s="17"/>
      <c r="B97" s="17" t="s">
        <v>121</v>
      </c>
      <c r="E97" s="4"/>
      <c r="G97" s="4"/>
      <c r="I97" s="4"/>
      <c r="L97" s="138" t="s">
        <v>202</v>
      </c>
      <c r="M97" s="6"/>
      <c r="N97" s="12">
        <v>0</v>
      </c>
      <c r="O97" s="12"/>
      <c r="P97" s="12">
        <v>0</v>
      </c>
      <c r="Q97" s="12"/>
      <c r="R97" s="6">
        <f>+N97+P97</f>
        <v>0</v>
      </c>
      <c r="S97" s="12"/>
      <c r="T97" s="12">
        <v>0</v>
      </c>
      <c r="U97" s="80"/>
      <c r="V97" s="12">
        <v>0</v>
      </c>
      <c r="W97" s="80"/>
      <c r="X97" s="12">
        <v>0</v>
      </c>
      <c r="Y97" s="80"/>
      <c r="Z97" s="12">
        <v>0</v>
      </c>
      <c r="AA97" s="80"/>
      <c r="AB97" s="12">
        <v>0</v>
      </c>
      <c r="AC97" s="80"/>
      <c r="AD97" s="12">
        <v>0</v>
      </c>
      <c r="AE97" s="80"/>
      <c r="AF97" s="12">
        <v>0</v>
      </c>
      <c r="AG97" s="80"/>
      <c r="AH97" s="12">
        <v>0</v>
      </c>
      <c r="AI97" s="4"/>
      <c r="AJ97" s="12">
        <v>0</v>
      </c>
      <c r="AL97" s="12">
        <v>0</v>
      </c>
      <c r="AN97" s="12">
        <v>0</v>
      </c>
      <c r="AO97" s="80"/>
      <c r="AP97" s="12">
        <v>0</v>
      </c>
      <c r="AQ97" s="80"/>
      <c r="AR97" s="12">
        <v>0</v>
      </c>
      <c r="AS97" s="80"/>
      <c r="AT97" s="12">
        <v>0</v>
      </c>
      <c r="AU97" s="12"/>
      <c r="AV97" s="12">
        <v>0</v>
      </c>
      <c r="AW97" s="12"/>
      <c r="AX97" s="12">
        <v>0</v>
      </c>
      <c r="AY97" s="12"/>
      <c r="AZ97" s="12">
        <v>0</v>
      </c>
      <c r="BA97" s="12"/>
      <c r="BB97" s="12">
        <v>0</v>
      </c>
      <c r="BC97" s="12"/>
      <c r="BD97" s="12">
        <v>0</v>
      </c>
      <c r="BF97" s="12">
        <v>0</v>
      </c>
      <c r="BH97" s="12">
        <v>0</v>
      </c>
      <c r="BJ97" s="12">
        <v>0</v>
      </c>
      <c r="BL97" s="12">
        <v>0</v>
      </c>
      <c r="BN97" s="12">
        <f t="shared" si="22"/>
        <v>0</v>
      </c>
      <c r="BP97" s="12">
        <v>0</v>
      </c>
      <c r="BR97" s="6">
        <f t="shared" si="23"/>
        <v>0</v>
      </c>
      <c r="BS97" s="12"/>
      <c r="BT97" s="6">
        <f t="shared" si="24"/>
        <v>0</v>
      </c>
      <c r="BU97" s="12"/>
      <c r="BV97" s="6">
        <f t="shared" si="25"/>
        <v>0</v>
      </c>
      <c r="BW97" s="12"/>
    </row>
    <row r="98" spans="1:75">
      <c r="A98" s="17"/>
      <c r="B98" s="17"/>
      <c r="E98" s="4"/>
      <c r="G98" s="4"/>
      <c r="I98" s="4"/>
      <c r="L98" s="138"/>
      <c r="M98" s="6"/>
      <c r="N98" s="12"/>
      <c r="O98" s="12"/>
      <c r="P98" s="12"/>
      <c r="Q98" s="12"/>
      <c r="R98" s="12"/>
      <c r="S98" s="12"/>
      <c r="T98" s="12"/>
      <c r="U98" s="80"/>
      <c r="V98" s="12"/>
      <c r="W98" s="80"/>
      <c r="X98" s="12"/>
      <c r="Y98" s="80"/>
      <c r="Z98" s="12"/>
      <c r="AA98" s="80"/>
      <c r="AB98" s="12"/>
      <c r="AC98" s="80"/>
      <c r="AD98" s="12"/>
      <c r="AE98" s="80"/>
      <c r="AF98" s="12"/>
      <c r="AG98" s="80"/>
      <c r="AH98" s="12"/>
      <c r="AI98" s="4"/>
      <c r="AJ98" s="12"/>
      <c r="AL98" s="12"/>
      <c r="AN98" s="12"/>
      <c r="AO98" s="80"/>
      <c r="AP98" s="12"/>
      <c r="AQ98" s="80"/>
      <c r="AR98" s="12"/>
      <c r="AS98" s="80"/>
      <c r="AT98" s="12"/>
      <c r="AU98" s="12"/>
      <c r="AV98" s="12"/>
      <c r="AW98" s="12"/>
      <c r="AX98" s="12"/>
      <c r="AY98" s="12"/>
      <c r="AZ98" s="12"/>
      <c r="BA98" s="12"/>
      <c r="BB98" s="12"/>
      <c r="BC98" s="12"/>
      <c r="BD98" s="12"/>
      <c r="BF98" s="12"/>
      <c r="BH98" s="12"/>
      <c r="BJ98" s="12"/>
      <c r="BL98" s="12"/>
      <c r="BN98" s="12"/>
      <c r="BP98" s="12"/>
      <c r="BR98" s="6">
        <f t="shared" si="23"/>
        <v>0</v>
      </c>
      <c r="BS98" s="12"/>
      <c r="BT98" s="12"/>
      <c r="BU98" s="12"/>
      <c r="BV98" s="12"/>
      <c r="BW98" s="12"/>
    </row>
    <row r="99" spans="1:75" s="114" customFormat="1">
      <c r="A99" s="282"/>
      <c r="B99" s="113" t="s">
        <v>244</v>
      </c>
      <c r="J99" s="154"/>
      <c r="L99" s="140"/>
      <c r="M99" s="115"/>
      <c r="N99" s="116">
        <f>SUM(N92:N98)</f>
        <v>0</v>
      </c>
      <c r="O99" s="115"/>
      <c r="P99" s="116">
        <f>SUM(P92:P98)</f>
        <v>0</v>
      </c>
      <c r="Q99" s="115"/>
      <c r="R99" s="116">
        <f>SUM(R92:R98)</f>
        <v>3760000</v>
      </c>
      <c r="S99" s="115"/>
      <c r="T99" s="116">
        <f>SUM(T92:T98)</f>
        <v>0</v>
      </c>
      <c r="U99" s="115"/>
      <c r="V99" s="116">
        <f>SUM(V92:V98)</f>
        <v>0</v>
      </c>
      <c r="W99" s="115"/>
      <c r="X99" s="116">
        <f>SUM(X92:X98)</f>
        <v>0</v>
      </c>
      <c r="Y99" s="115"/>
      <c r="Z99" s="116">
        <f>SUM(Z92:Z98)</f>
        <v>0</v>
      </c>
      <c r="AA99" s="115"/>
      <c r="AB99" s="116">
        <f>SUM(AB92:AB98)</f>
        <v>0</v>
      </c>
      <c r="AC99" s="115"/>
      <c r="AD99" s="116">
        <f>SUM(AD92:AD98)</f>
        <v>0</v>
      </c>
      <c r="AE99" s="115"/>
      <c r="AF99" s="116">
        <f>SUM(AF92:AF98)</f>
        <v>0</v>
      </c>
      <c r="AG99" s="115"/>
      <c r="AH99" s="116">
        <f>SUM(AH92:AH98)</f>
        <v>313333.33333333331</v>
      </c>
      <c r="AI99" s="4"/>
      <c r="AJ99" s="116">
        <f>SUM(AJ92:AJ98)</f>
        <v>313333.34999999998</v>
      </c>
      <c r="AK99" s="4"/>
      <c r="AL99" s="116">
        <f>SUM(AL92:AL98)</f>
        <v>313332</v>
      </c>
      <c r="AM99" s="4"/>
      <c r="AN99" s="116">
        <f>SUM(AN92:AN98)</f>
        <v>313332.33</v>
      </c>
      <c r="AO99" s="115"/>
      <c r="AP99" s="116">
        <f>SUM(AP92:AP98)</f>
        <v>318332.33</v>
      </c>
      <c r="AQ99" s="115"/>
      <c r="AR99" s="116">
        <f>SUM(AR92:AR98)</f>
        <v>313331.33999999997</v>
      </c>
      <c r="AS99" s="115"/>
      <c r="AT99" s="116">
        <f>SUM(AT92:AT98)</f>
        <v>313332.33</v>
      </c>
      <c r="AU99" s="117"/>
      <c r="AV99" s="116">
        <f>SUM(AV92:AV98)</f>
        <v>313333.33</v>
      </c>
      <c r="AW99" s="117"/>
      <c r="AX99" s="116">
        <f>SUM(AX92:AX98)</f>
        <v>313333.33</v>
      </c>
      <c r="AY99" s="117"/>
      <c r="AZ99" s="116">
        <f>SUM(AZ92:AZ98)</f>
        <v>313333</v>
      </c>
      <c r="BA99" s="117"/>
      <c r="BB99" s="116">
        <f>SUM(BB92:BB98)</f>
        <v>313333.33</v>
      </c>
      <c r="BC99" s="117"/>
      <c r="BD99" s="116">
        <f>SUM(BD92:BD98)</f>
        <v>313331.33</v>
      </c>
      <c r="BE99" s="4"/>
      <c r="BF99" s="116">
        <f>SUM(BF92:BF98)</f>
        <v>0</v>
      </c>
      <c r="BG99" s="4"/>
      <c r="BH99" s="116">
        <f>SUM(BH92:BH98)</f>
        <v>0</v>
      </c>
      <c r="BI99" s="4"/>
      <c r="BJ99" s="116">
        <f>SUM(BJ92:BJ98)</f>
        <v>6741</v>
      </c>
      <c r="BK99" s="4"/>
      <c r="BL99" s="116">
        <f>SUM(BL92:BL98)</f>
        <v>0</v>
      </c>
      <c r="BM99" s="4"/>
      <c r="BN99" s="116">
        <f>SUM(BN92:BN98)</f>
        <v>3771732.333333333</v>
      </c>
      <c r="BO99" s="4"/>
      <c r="BP99" s="116">
        <f>SUM(BP92:BP98)</f>
        <v>-8</v>
      </c>
      <c r="BQ99" s="4"/>
      <c r="BR99" s="116">
        <f>SUM(BR92:BR98)</f>
        <v>0</v>
      </c>
      <c r="BS99" s="115"/>
      <c r="BT99" s="116">
        <f>SUM(BT92:BT98)</f>
        <v>3771732.333333333</v>
      </c>
      <c r="BU99" s="115"/>
      <c r="BV99" s="116">
        <f>SUM(BV92:BV98)</f>
        <v>-11732.333333333139</v>
      </c>
      <c r="BW99" s="117"/>
    </row>
    <row r="100" spans="1:75">
      <c r="E100" s="4"/>
      <c r="G100" s="4"/>
      <c r="I100" s="4"/>
      <c r="J100" s="4"/>
      <c r="L100" s="4"/>
      <c r="N100" s="4"/>
      <c r="P100" s="4"/>
      <c r="R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L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F100" s="4"/>
      <c r="BH100" s="4"/>
      <c r="BJ100" s="4"/>
      <c r="BL100" s="4"/>
      <c r="BN100" s="4"/>
      <c r="BP100" s="4"/>
      <c r="BR100" s="4"/>
      <c r="BS100" s="4"/>
      <c r="BT100" s="4"/>
      <c r="BU100" s="4"/>
      <c r="BV100" s="4"/>
    </row>
    <row r="101" spans="1:75" s="15" customFormat="1">
      <c r="A101" s="77" t="s">
        <v>242</v>
      </c>
      <c r="B101" s="17"/>
      <c r="C101" s="4"/>
      <c r="D101" s="4"/>
      <c r="E101" s="4"/>
      <c r="F101" s="4"/>
      <c r="G101" s="4"/>
      <c r="H101" s="4"/>
      <c r="I101" s="4"/>
      <c r="J101" s="5"/>
      <c r="K101" s="4"/>
      <c r="L101" s="138" t="s">
        <v>202</v>
      </c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4"/>
      <c r="AJ101" s="22"/>
      <c r="AK101" s="4"/>
      <c r="AL101" s="22"/>
      <c r="AM101" s="4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4"/>
      <c r="BF101" s="22"/>
      <c r="BG101" s="4"/>
      <c r="BH101" s="22"/>
      <c r="BI101" s="4"/>
      <c r="BJ101" s="22"/>
      <c r="BK101" s="4"/>
      <c r="BL101" s="22"/>
      <c r="BM101" s="4"/>
      <c r="BN101" s="22"/>
      <c r="BO101" s="4"/>
      <c r="BP101" s="22"/>
      <c r="BQ101" s="4"/>
      <c r="BR101" s="22"/>
      <c r="BS101" s="22"/>
      <c r="BT101" s="22"/>
      <c r="BU101" s="22"/>
      <c r="BV101" s="22"/>
      <c r="BW101" s="22"/>
    </row>
    <row r="102" spans="1:75" s="15" customFormat="1">
      <c r="A102" s="77"/>
      <c r="B102" s="17" t="s">
        <v>255</v>
      </c>
      <c r="C102" s="4"/>
      <c r="D102" s="4"/>
      <c r="E102" s="4"/>
      <c r="F102" s="4"/>
      <c r="G102" s="4"/>
      <c r="H102" s="4"/>
      <c r="I102" s="4"/>
      <c r="J102" s="5" t="s">
        <v>0</v>
      </c>
      <c r="K102" s="4"/>
      <c r="L102" s="138" t="s">
        <v>202</v>
      </c>
      <c r="M102" s="22"/>
      <c r="N102" s="22">
        <v>0</v>
      </c>
      <c r="O102" s="22"/>
      <c r="P102" s="22">
        <v>0</v>
      </c>
      <c r="Q102" s="22"/>
      <c r="R102" s="6">
        <v>9479079</v>
      </c>
      <c r="S102" s="22"/>
      <c r="T102" s="22">
        <v>0</v>
      </c>
      <c r="U102" s="22"/>
      <c r="V102" s="22">
        <v>0</v>
      </c>
      <c r="W102" s="22"/>
      <c r="X102" s="22">
        <v>0</v>
      </c>
      <c r="Y102" s="22"/>
      <c r="Z102" s="22">
        <v>0</v>
      </c>
      <c r="AA102" s="22"/>
      <c r="AB102" s="22">
        <v>0</v>
      </c>
      <c r="AC102" s="22"/>
      <c r="AD102" s="22">
        <v>0</v>
      </c>
      <c r="AE102" s="22"/>
      <c r="AF102" s="22">
        <v>815280</v>
      </c>
      <c r="AG102" s="22"/>
      <c r="AH102" s="22">
        <v>2025875.7</v>
      </c>
      <c r="AI102" s="4"/>
      <c r="AJ102" s="22">
        <v>0</v>
      </c>
      <c r="AK102" s="4"/>
      <c r="AL102" s="22">
        <v>0</v>
      </c>
      <c r="AM102" s="4"/>
      <c r="AN102" s="22">
        <v>1894103.8</v>
      </c>
      <c r="AO102" s="22"/>
      <c r="AP102" s="22">
        <v>0</v>
      </c>
      <c r="AQ102" s="22"/>
      <c r="AR102" s="22">
        <v>0</v>
      </c>
      <c r="AS102" s="22"/>
      <c r="AT102" s="22">
        <v>0</v>
      </c>
      <c r="AU102" s="22"/>
      <c r="AV102" s="22">
        <v>1183814.8799999999</v>
      </c>
      <c r="AW102" s="22"/>
      <c r="AX102" s="22">
        <v>2943550.62</v>
      </c>
      <c r="AY102" s="22"/>
      <c r="AZ102" s="22">
        <v>0</v>
      </c>
      <c r="BA102" s="22"/>
      <c r="BB102" s="22">
        <v>0</v>
      </c>
      <c r="BC102" s="22"/>
      <c r="BD102" s="22">
        <v>0</v>
      </c>
      <c r="BE102" s="4"/>
      <c r="BF102" s="22">
        <v>0</v>
      </c>
      <c r="BG102" s="4"/>
      <c r="BH102" s="22">
        <v>0</v>
      </c>
      <c r="BI102" s="4"/>
      <c r="BJ102" s="22">
        <v>368146</v>
      </c>
      <c r="BK102" s="4"/>
      <c r="BL102" s="22"/>
      <c r="BM102" s="4"/>
      <c r="BN102" s="22">
        <f>SUM(T102:BM102)</f>
        <v>9230771</v>
      </c>
      <c r="BO102" s="4"/>
      <c r="BP102" s="22">
        <v>440</v>
      </c>
      <c r="BQ102" s="4"/>
      <c r="BR102" s="6">
        <f t="shared" ref="BR102:BR107" si="26">IF(+R102-BN102+BP102&gt;0,R102-BN102+BP102,0)</f>
        <v>248748</v>
      </c>
      <c r="BS102" s="22"/>
      <c r="BT102" s="6">
        <f>+BN102+BR102</f>
        <v>9479519</v>
      </c>
      <c r="BU102" s="22"/>
      <c r="BV102" s="6">
        <f>+R102-BT102</f>
        <v>-440</v>
      </c>
      <c r="BW102" s="22"/>
    </row>
    <row r="103" spans="1:75" s="15" customFormat="1">
      <c r="A103" s="77"/>
      <c r="B103" s="17" t="s">
        <v>256</v>
      </c>
      <c r="C103" s="4"/>
      <c r="D103" s="4"/>
      <c r="E103" s="4"/>
      <c r="F103" s="4"/>
      <c r="G103" s="4"/>
      <c r="H103" s="4"/>
      <c r="I103" s="4"/>
      <c r="J103" s="5" t="s">
        <v>0</v>
      </c>
      <c r="K103" s="4"/>
      <c r="L103" s="138" t="s">
        <v>202</v>
      </c>
      <c r="M103" s="22"/>
      <c r="N103" s="22">
        <v>0</v>
      </c>
      <c r="O103" s="22"/>
      <c r="P103" s="22">
        <v>0</v>
      </c>
      <c r="Q103" s="22"/>
      <c r="R103" s="6">
        <v>0</v>
      </c>
      <c r="S103" s="22"/>
      <c r="T103" s="22">
        <v>0</v>
      </c>
      <c r="U103" s="22"/>
      <c r="V103" s="22">
        <v>0</v>
      </c>
      <c r="W103" s="22"/>
      <c r="X103" s="22">
        <v>0</v>
      </c>
      <c r="Y103" s="22"/>
      <c r="Z103" s="22">
        <v>0</v>
      </c>
      <c r="AA103" s="22"/>
      <c r="AB103" s="22">
        <v>0</v>
      </c>
      <c r="AC103" s="22"/>
      <c r="AD103" s="22">
        <v>0</v>
      </c>
      <c r="AE103" s="22"/>
      <c r="AF103" s="22">
        <v>0</v>
      </c>
      <c r="AG103" s="22"/>
      <c r="AH103" s="22">
        <v>0</v>
      </c>
      <c r="AI103" s="4"/>
      <c r="AJ103" s="22">
        <v>0</v>
      </c>
      <c r="AK103" s="4"/>
      <c r="AL103" s="22">
        <v>0</v>
      </c>
      <c r="AM103" s="4"/>
      <c r="AN103" s="22">
        <v>0</v>
      </c>
      <c r="AO103" s="22"/>
      <c r="AP103" s="22">
        <v>0</v>
      </c>
      <c r="AQ103" s="22"/>
      <c r="AR103" s="22">
        <v>0</v>
      </c>
      <c r="AS103" s="22"/>
      <c r="AT103" s="22">
        <v>0</v>
      </c>
      <c r="AU103" s="22"/>
      <c r="AV103" s="22">
        <v>0</v>
      </c>
      <c r="AW103" s="22"/>
      <c r="AX103" s="22">
        <v>0</v>
      </c>
      <c r="AY103" s="22"/>
      <c r="AZ103" s="22">
        <v>0</v>
      </c>
      <c r="BA103" s="22"/>
      <c r="BB103" s="22">
        <v>0</v>
      </c>
      <c r="BC103" s="22"/>
      <c r="BD103" s="22">
        <v>0</v>
      </c>
      <c r="BE103" s="4"/>
      <c r="BF103" s="22">
        <v>0</v>
      </c>
      <c r="BG103" s="4"/>
      <c r="BH103" s="22">
        <v>0</v>
      </c>
      <c r="BI103" s="4"/>
      <c r="BJ103" s="22">
        <v>0</v>
      </c>
      <c r="BK103" s="4"/>
      <c r="BL103" s="22">
        <v>0</v>
      </c>
      <c r="BM103" s="4"/>
      <c r="BN103" s="22">
        <f>SUM(T103:BM103)</f>
        <v>0</v>
      </c>
      <c r="BO103" s="4"/>
      <c r="BP103" s="22">
        <v>0</v>
      </c>
      <c r="BQ103" s="4"/>
      <c r="BR103" s="6">
        <f t="shared" si="26"/>
        <v>0</v>
      </c>
      <c r="BS103" s="22"/>
      <c r="BT103" s="6">
        <f>+BN103+BR103</f>
        <v>0</v>
      </c>
      <c r="BU103" s="22"/>
      <c r="BV103" s="6">
        <f>+R103-BT103</f>
        <v>0</v>
      </c>
      <c r="BW103" s="22"/>
    </row>
    <row r="104" spans="1:75" s="15" customFormat="1">
      <c r="A104" s="100"/>
      <c r="B104" s="17" t="s">
        <v>257</v>
      </c>
      <c r="C104" s="4"/>
      <c r="D104" s="4"/>
      <c r="E104" s="4"/>
      <c r="F104" s="4"/>
      <c r="G104" s="4"/>
      <c r="H104" s="4"/>
      <c r="I104" s="4"/>
      <c r="J104" s="5" t="s">
        <v>0</v>
      </c>
      <c r="K104" s="4"/>
      <c r="L104" s="138" t="s">
        <v>202</v>
      </c>
      <c r="M104" s="22"/>
      <c r="N104" s="22">
        <v>0</v>
      </c>
      <c r="O104" s="22"/>
      <c r="P104" s="22">
        <v>0</v>
      </c>
      <c r="Q104" s="22"/>
      <c r="R104" s="6">
        <v>0</v>
      </c>
      <c r="S104" s="22"/>
      <c r="T104" s="22">
        <v>0</v>
      </c>
      <c r="U104" s="22"/>
      <c r="V104" s="22">
        <v>0</v>
      </c>
      <c r="W104" s="22"/>
      <c r="X104" s="22">
        <v>0</v>
      </c>
      <c r="Y104" s="22"/>
      <c r="Z104" s="22">
        <v>0</v>
      </c>
      <c r="AA104" s="22"/>
      <c r="AB104" s="22">
        <v>0</v>
      </c>
      <c r="AC104" s="22"/>
      <c r="AD104" s="22">
        <v>0</v>
      </c>
      <c r="AE104" s="22"/>
      <c r="AF104" s="22">
        <v>0</v>
      </c>
      <c r="AG104" s="22"/>
      <c r="AH104" s="22">
        <v>0</v>
      </c>
      <c r="AI104" s="4"/>
      <c r="AJ104" s="22">
        <v>0</v>
      </c>
      <c r="AK104" s="4"/>
      <c r="AL104" s="22">
        <v>0</v>
      </c>
      <c r="AM104" s="4"/>
      <c r="AN104" s="22">
        <v>0</v>
      </c>
      <c r="AO104" s="22"/>
      <c r="AP104" s="22">
        <v>0</v>
      </c>
      <c r="AQ104" s="22"/>
      <c r="AR104" s="22">
        <v>0</v>
      </c>
      <c r="AS104" s="22"/>
      <c r="AT104" s="22">
        <v>0</v>
      </c>
      <c r="AU104" s="22"/>
      <c r="AV104" s="22">
        <v>0</v>
      </c>
      <c r="AW104" s="22"/>
      <c r="AX104" s="22">
        <v>0</v>
      </c>
      <c r="AY104" s="22"/>
      <c r="AZ104" s="22">
        <v>0</v>
      </c>
      <c r="BA104" s="22"/>
      <c r="BB104" s="22">
        <v>0</v>
      </c>
      <c r="BC104" s="22"/>
      <c r="BD104" s="22">
        <v>0</v>
      </c>
      <c r="BE104" s="4"/>
      <c r="BF104" s="22">
        <v>0</v>
      </c>
      <c r="BG104" s="4"/>
      <c r="BH104" s="22">
        <v>0</v>
      </c>
      <c r="BI104" s="4"/>
      <c r="BJ104" s="22">
        <v>0</v>
      </c>
      <c r="BK104" s="4"/>
      <c r="BL104" s="22">
        <v>0</v>
      </c>
      <c r="BM104" s="4"/>
      <c r="BN104" s="22">
        <f>SUM(T104:BM104)</f>
        <v>0</v>
      </c>
      <c r="BO104" s="4"/>
      <c r="BP104" s="22">
        <v>0</v>
      </c>
      <c r="BQ104" s="4"/>
      <c r="BR104" s="6">
        <f t="shared" si="26"/>
        <v>0</v>
      </c>
      <c r="BS104" s="22"/>
      <c r="BT104" s="6">
        <f>+BN104+BR104</f>
        <v>0</v>
      </c>
      <c r="BU104" s="22"/>
      <c r="BV104" s="6">
        <f>+R104-BT104</f>
        <v>0</v>
      </c>
      <c r="BW104" s="22"/>
    </row>
    <row r="105" spans="1:75" s="109" customFormat="1">
      <c r="A105" s="100"/>
      <c r="B105" s="17" t="s">
        <v>258</v>
      </c>
      <c r="C105" s="11"/>
      <c r="D105" s="11"/>
      <c r="E105" s="11"/>
      <c r="F105" s="11"/>
      <c r="G105" s="11"/>
      <c r="H105" s="11"/>
      <c r="I105" s="11"/>
      <c r="J105" s="5" t="s">
        <v>0</v>
      </c>
      <c r="K105" s="11"/>
      <c r="L105" s="138" t="s">
        <v>202</v>
      </c>
      <c r="M105" s="80"/>
      <c r="N105" s="80">
        <v>0</v>
      </c>
      <c r="O105" s="80"/>
      <c r="P105" s="80">
        <v>0</v>
      </c>
      <c r="Q105" s="80"/>
      <c r="R105" s="6">
        <v>0</v>
      </c>
      <c r="S105" s="80"/>
      <c r="T105" s="80">
        <v>0</v>
      </c>
      <c r="U105" s="80"/>
      <c r="V105" s="80">
        <v>0</v>
      </c>
      <c r="W105" s="80"/>
      <c r="X105" s="80">
        <v>0</v>
      </c>
      <c r="Y105" s="80"/>
      <c r="Z105" s="80">
        <v>0</v>
      </c>
      <c r="AA105" s="80"/>
      <c r="AB105" s="80">
        <v>0</v>
      </c>
      <c r="AC105" s="80"/>
      <c r="AD105" s="80">
        <v>0</v>
      </c>
      <c r="AE105" s="80"/>
      <c r="AF105" s="80">
        <v>0</v>
      </c>
      <c r="AG105" s="80"/>
      <c r="AH105" s="80">
        <v>0</v>
      </c>
      <c r="AI105" s="4"/>
      <c r="AJ105" s="80">
        <v>0</v>
      </c>
      <c r="AK105" s="4"/>
      <c r="AL105" s="80">
        <v>0</v>
      </c>
      <c r="AM105" s="4"/>
      <c r="AN105" s="80">
        <v>0</v>
      </c>
      <c r="AO105" s="80"/>
      <c r="AP105" s="80">
        <v>0</v>
      </c>
      <c r="AQ105" s="80"/>
      <c r="AR105" s="80">
        <v>0</v>
      </c>
      <c r="AS105" s="80"/>
      <c r="AT105" s="80">
        <v>0</v>
      </c>
      <c r="AU105" s="80"/>
      <c r="AV105" s="80">
        <v>0</v>
      </c>
      <c r="AW105" s="80"/>
      <c r="AX105" s="80">
        <v>0</v>
      </c>
      <c r="AY105" s="80"/>
      <c r="AZ105" s="80">
        <v>0</v>
      </c>
      <c r="BA105" s="80"/>
      <c r="BB105" s="80">
        <v>0</v>
      </c>
      <c r="BC105" s="80"/>
      <c r="BD105" s="80">
        <v>0</v>
      </c>
      <c r="BE105" s="4"/>
      <c r="BF105" s="80">
        <v>0</v>
      </c>
      <c r="BG105" s="4"/>
      <c r="BH105" s="80">
        <v>0</v>
      </c>
      <c r="BI105" s="4"/>
      <c r="BJ105" s="80">
        <v>0</v>
      </c>
      <c r="BK105" s="4"/>
      <c r="BL105" s="80">
        <v>0</v>
      </c>
      <c r="BM105" s="4"/>
      <c r="BN105" s="80">
        <f>SUM(T105:BM105)</f>
        <v>0</v>
      </c>
      <c r="BO105" s="4"/>
      <c r="BP105" s="80">
        <v>0</v>
      </c>
      <c r="BQ105" s="4"/>
      <c r="BR105" s="6">
        <f t="shared" si="26"/>
        <v>0</v>
      </c>
      <c r="BS105" s="80"/>
      <c r="BT105" s="6">
        <f>+BN105+BR105</f>
        <v>0</v>
      </c>
      <c r="BU105" s="80"/>
      <c r="BV105" s="6">
        <f>+R105-BT105</f>
        <v>0</v>
      </c>
      <c r="BW105" s="80"/>
    </row>
    <row r="106" spans="1:75" s="15" customFormat="1">
      <c r="A106" s="100"/>
      <c r="B106" s="17" t="s">
        <v>259</v>
      </c>
      <c r="C106" s="4"/>
      <c r="D106" s="4"/>
      <c r="E106" s="4"/>
      <c r="F106" s="4"/>
      <c r="G106" s="4"/>
      <c r="H106" s="4"/>
      <c r="I106" s="4"/>
      <c r="J106" s="5" t="s">
        <v>0</v>
      </c>
      <c r="K106" s="4"/>
      <c r="L106" s="138" t="s">
        <v>202</v>
      </c>
      <c r="M106" s="22"/>
      <c r="N106" s="80">
        <v>0</v>
      </c>
      <c r="O106" s="22"/>
      <c r="P106" s="80">
        <v>0</v>
      </c>
      <c r="Q106" s="22"/>
      <c r="R106" s="6">
        <v>0</v>
      </c>
      <c r="S106" s="22"/>
      <c r="T106" s="80">
        <v>0</v>
      </c>
      <c r="U106" s="80"/>
      <c r="V106" s="80">
        <v>0</v>
      </c>
      <c r="W106" s="80"/>
      <c r="X106" s="80">
        <v>0</v>
      </c>
      <c r="Y106" s="80"/>
      <c r="Z106" s="80">
        <v>0</v>
      </c>
      <c r="AA106" s="80"/>
      <c r="AB106" s="80">
        <v>0</v>
      </c>
      <c r="AC106" s="80"/>
      <c r="AD106" s="80">
        <v>0</v>
      </c>
      <c r="AE106" s="80"/>
      <c r="AF106" s="80">
        <v>0</v>
      </c>
      <c r="AG106" s="80"/>
      <c r="AH106" s="80">
        <v>0</v>
      </c>
      <c r="AI106" s="4"/>
      <c r="AJ106" s="80">
        <v>0</v>
      </c>
      <c r="AK106" s="4"/>
      <c r="AL106" s="80">
        <v>0</v>
      </c>
      <c r="AM106" s="4"/>
      <c r="AN106" s="80">
        <v>0</v>
      </c>
      <c r="AO106" s="80"/>
      <c r="AP106" s="80">
        <v>0</v>
      </c>
      <c r="AQ106" s="80"/>
      <c r="AR106" s="80">
        <v>0</v>
      </c>
      <c r="AS106" s="80"/>
      <c r="AT106" s="80">
        <v>0</v>
      </c>
      <c r="AU106" s="80"/>
      <c r="AV106" s="80">
        <v>0</v>
      </c>
      <c r="AW106" s="80"/>
      <c r="AX106" s="80">
        <v>0</v>
      </c>
      <c r="AY106" s="80"/>
      <c r="AZ106" s="80">
        <v>0</v>
      </c>
      <c r="BA106" s="80"/>
      <c r="BB106" s="80">
        <v>0</v>
      </c>
      <c r="BC106" s="80"/>
      <c r="BD106" s="80">
        <v>0</v>
      </c>
      <c r="BE106" s="4"/>
      <c r="BF106" s="80">
        <v>0</v>
      </c>
      <c r="BG106" s="4"/>
      <c r="BH106" s="80">
        <v>0</v>
      </c>
      <c r="BI106" s="4"/>
      <c r="BJ106" s="80">
        <v>0</v>
      </c>
      <c r="BK106" s="4"/>
      <c r="BL106" s="80">
        <v>0</v>
      </c>
      <c r="BM106" s="4"/>
      <c r="BN106" s="80">
        <f>SUM(T106:BM106)</f>
        <v>0</v>
      </c>
      <c r="BO106" s="4"/>
      <c r="BP106" s="80">
        <v>0</v>
      </c>
      <c r="BQ106" s="4"/>
      <c r="BR106" s="6">
        <f t="shared" si="26"/>
        <v>0</v>
      </c>
      <c r="BS106" s="22"/>
      <c r="BT106" s="6">
        <f>+BN106+BR106</f>
        <v>0</v>
      </c>
      <c r="BU106" s="22"/>
      <c r="BV106" s="6">
        <f>+R106-BT106</f>
        <v>0</v>
      </c>
      <c r="BW106" s="80"/>
    </row>
    <row r="107" spans="1:75" s="15" customFormat="1">
      <c r="A107" s="100"/>
      <c r="B107" s="17"/>
      <c r="C107" s="4"/>
      <c r="D107" s="4"/>
      <c r="E107" s="4"/>
      <c r="F107" s="4"/>
      <c r="G107" s="4"/>
      <c r="H107" s="4"/>
      <c r="I107" s="4"/>
      <c r="J107" s="5"/>
      <c r="K107" s="4"/>
      <c r="L107" s="138"/>
      <c r="M107" s="22"/>
      <c r="N107" s="80"/>
      <c r="O107" s="22"/>
      <c r="P107" s="80"/>
      <c r="Q107" s="22"/>
      <c r="R107" s="80"/>
      <c r="S107" s="22"/>
      <c r="T107" s="80"/>
      <c r="U107" s="80"/>
      <c r="V107" s="80"/>
      <c r="W107" s="80"/>
      <c r="X107" s="80"/>
      <c r="Y107" s="80"/>
      <c r="Z107" s="80"/>
      <c r="AA107" s="80"/>
      <c r="AB107" s="80"/>
      <c r="AC107" s="80"/>
      <c r="AD107" s="80"/>
      <c r="AE107" s="80"/>
      <c r="AF107" s="80"/>
      <c r="AG107" s="80"/>
      <c r="AH107" s="80"/>
      <c r="AI107" s="4"/>
      <c r="AJ107" s="80"/>
      <c r="AK107" s="4"/>
      <c r="AL107" s="80"/>
      <c r="AM107" s="4"/>
      <c r="AN107" s="80"/>
      <c r="AO107" s="80"/>
      <c r="AP107" s="80"/>
      <c r="AQ107" s="80"/>
      <c r="AR107" s="80"/>
      <c r="AS107" s="80"/>
      <c r="AT107" s="80"/>
      <c r="AU107" s="80"/>
      <c r="AV107" s="80"/>
      <c r="AW107" s="80"/>
      <c r="AX107" s="80"/>
      <c r="AY107" s="80"/>
      <c r="AZ107" s="80"/>
      <c r="BA107" s="80"/>
      <c r="BB107" s="80"/>
      <c r="BC107" s="80"/>
      <c r="BD107" s="80"/>
      <c r="BE107" s="4"/>
      <c r="BF107" s="80"/>
      <c r="BG107" s="4"/>
      <c r="BH107" s="80"/>
      <c r="BI107" s="4"/>
      <c r="BJ107" s="80"/>
      <c r="BK107" s="4"/>
      <c r="BL107" s="80"/>
      <c r="BM107" s="4"/>
      <c r="BN107" s="80"/>
      <c r="BO107" s="4"/>
      <c r="BP107" s="80"/>
      <c r="BQ107" s="4"/>
      <c r="BR107" s="6">
        <f t="shared" si="26"/>
        <v>0</v>
      </c>
      <c r="BS107" s="22"/>
      <c r="BT107" s="80"/>
      <c r="BU107" s="22"/>
      <c r="BV107" s="80"/>
      <c r="BW107" s="80"/>
    </row>
    <row r="108" spans="1:75" s="104" customFormat="1">
      <c r="A108" s="32"/>
      <c r="B108" s="77" t="s">
        <v>245</v>
      </c>
      <c r="C108" s="21"/>
      <c r="D108" s="21"/>
      <c r="E108" s="21"/>
      <c r="F108" s="21"/>
      <c r="G108" s="21"/>
      <c r="H108" s="21"/>
      <c r="I108" s="21"/>
      <c r="J108" s="8"/>
      <c r="K108" s="21"/>
      <c r="L108" s="141"/>
      <c r="M108" s="16"/>
      <c r="N108" s="108">
        <f>SUM(N102:N107)</f>
        <v>0</v>
      </c>
      <c r="O108" s="16"/>
      <c r="P108" s="108">
        <f>SUM(P102:P107)</f>
        <v>0</v>
      </c>
      <c r="Q108" s="16"/>
      <c r="R108" s="108">
        <f>SUM(R102:R107)</f>
        <v>9479079</v>
      </c>
      <c r="S108" s="16"/>
      <c r="T108" s="108">
        <f>SUM(T102:T107)</f>
        <v>0</v>
      </c>
      <c r="U108" s="16"/>
      <c r="V108" s="108">
        <f>SUM(V102:V107)</f>
        <v>0</v>
      </c>
      <c r="W108" s="16"/>
      <c r="X108" s="108">
        <f>SUM(X102:X107)</f>
        <v>0</v>
      </c>
      <c r="Y108" s="16"/>
      <c r="Z108" s="108">
        <f>SUM(Z102:Z107)</f>
        <v>0</v>
      </c>
      <c r="AA108" s="16"/>
      <c r="AB108" s="108">
        <f>SUM(AB102:AB107)</f>
        <v>0</v>
      </c>
      <c r="AC108" s="16"/>
      <c r="AD108" s="108">
        <f>SUM(AD102:AD107)</f>
        <v>0</v>
      </c>
      <c r="AE108" s="16"/>
      <c r="AF108" s="108">
        <f>SUM(AF102:AF107)</f>
        <v>815280</v>
      </c>
      <c r="AG108" s="16"/>
      <c r="AH108" s="108">
        <f>SUM(AH102:AH107)</f>
        <v>2025875.7</v>
      </c>
      <c r="AI108" s="4"/>
      <c r="AJ108" s="108">
        <f>SUM(AJ102:AJ107)</f>
        <v>0</v>
      </c>
      <c r="AK108" s="4"/>
      <c r="AL108" s="108">
        <f>SUM(AL102:AL107)</f>
        <v>0</v>
      </c>
      <c r="AM108" s="4"/>
      <c r="AN108" s="108">
        <f>SUM(AN102:AN107)</f>
        <v>1894103.8</v>
      </c>
      <c r="AO108" s="16"/>
      <c r="AP108" s="108">
        <f>SUM(AP102:AP107)</f>
        <v>0</v>
      </c>
      <c r="AQ108" s="16"/>
      <c r="AR108" s="108">
        <f>SUM(AR102:AR107)</f>
        <v>0</v>
      </c>
      <c r="AS108" s="16"/>
      <c r="AT108" s="108">
        <f>SUM(AT102:AT107)</f>
        <v>0</v>
      </c>
      <c r="AU108" s="103"/>
      <c r="AV108" s="108">
        <f>SUM(AV102:AV107)</f>
        <v>1183814.8799999999</v>
      </c>
      <c r="AW108" s="103"/>
      <c r="AX108" s="108">
        <f>SUM(AX102:AX107)</f>
        <v>2943550.62</v>
      </c>
      <c r="AY108" s="103"/>
      <c r="AZ108" s="108">
        <f>SUM(AZ102:AZ107)</f>
        <v>0</v>
      </c>
      <c r="BA108" s="103"/>
      <c r="BB108" s="108">
        <f>SUM(BB102:BB107)</f>
        <v>0</v>
      </c>
      <c r="BC108" s="103"/>
      <c r="BD108" s="108">
        <f>SUM(BD102:BD107)</f>
        <v>0</v>
      </c>
      <c r="BE108" s="4"/>
      <c r="BF108" s="108">
        <f>SUM(BF102:BF107)</f>
        <v>0</v>
      </c>
      <c r="BG108" s="4"/>
      <c r="BH108" s="108">
        <f>SUM(BH102:BH107)</f>
        <v>0</v>
      </c>
      <c r="BI108" s="4"/>
      <c r="BJ108" s="108">
        <f>SUM(BJ102:BJ107)</f>
        <v>368146</v>
      </c>
      <c r="BK108" s="4"/>
      <c r="BL108" s="108">
        <f>SUM(BL102:BL107)</f>
        <v>0</v>
      </c>
      <c r="BM108" s="4"/>
      <c r="BN108" s="108">
        <f>SUM(BN102:BN107)</f>
        <v>9230771</v>
      </c>
      <c r="BO108" s="4"/>
      <c r="BP108" s="108">
        <f>SUM(BP102:BP107)</f>
        <v>440</v>
      </c>
      <c r="BQ108" s="4"/>
      <c r="BR108" s="108">
        <f>SUM(BR102:BR107)</f>
        <v>248748</v>
      </c>
      <c r="BS108" s="16"/>
      <c r="BT108" s="108">
        <f>SUM(BT102:BT107)</f>
        <v>9479519</v>
      </c>
      <c r="BU108" s="16"/>
      <c r="BV108" s="108">
        <f>SUM(BV102:BV107)</f>
        <v>-440</v>
      </c>
      <c r="BW108" s="16"/>
    </row>
    <row r="109" spans="1:75" s="15" customFormat="1">
      <c r="A109" s="100"/>
      <c r="B109" s="17"/>
      <c r="C109" s="4"/>
      <c r="D109" s="4"/>
      <c r="E109" s="4"/>
      <c r="F109" s="4"/>
      <c r="G109" s="4"/>
      <c r="H109" s="4"/>
      <c r="I109" s="4"/>
      <c r="J109" s="5"/>
      <c r="K109" s="4"/>
      <c r="L109" s="138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4"/>
      <c r="AJ109" s="22"/>
      <c r="AK109" s="4"/>
      <c r="AL109" s="22"/>
      <c r="AM109" s="4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4"/>
      <c r="BF109" s="22"/>
      <c r="BG109" s="4"/>
      <c r="BH109" s="22"/>
      <c r="BI109" s="4"/>
      <c r="BJ109" s="22"/>
      <c r="BK109" s="4"/>
      <c r="BL109" s="22"/>
      <c r="BM109" s="4"/>
      <c r="BN109" s="22"/>
      <c r="BO109" s="4"/>
      <c r="BP109" s="22"/>
      <c r="BQ109" s="4"/>
      <c r="BR109" s="22"/>
      <c r="BS109" s="22"/>
      <c r="BT109" s="22"/>
      <c r="BU109" s="22"/>
      <c r="BV109" s="22"/>
      <c r="BW109" s="22"/>
    </row>
    <row r="110" spans="1:75" s="105" customFormat="1">
      <c r="A110" s="238" t="s">
        <v>246</v>
      </c>
      <c r="B110" s="63"/>
      <c r="J110" s="155"/>
      <c r="L110" s="142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4"/>
      <c r="AJ110" s="13"/>
      <c r="AK110" s="4"/>
      <c r="AL110" s="13"/>
      <c r="AM110" s="4"/>
      <c r="AN110" s="13"/>
      <c r="AO110" s="13"/>
      <c r="AP110" s="13"/>
      <c r="AQ110" s="13"/>
      <c r="AR110" s="13"/>
      <c r="AS110" s="13"/>
      <c r="AT110" s="13"/>
      <c r="AU110" s="13"/>
      <c r="AV110" s="13"/>
      <c r="AW110" s="13"/>
      <c r="AX110" s="13"/>
      <c r="AY110" s="13"/>
      <c r="AZ110" s="13"/>
      <c r="BA110" s="13"/>
      <c r="BB110" s="13"/>
      <c r="BC110" s="13"/>
      <c r="BD110" s="13"/>
      <c r="BE110" s="4"/>
      <c r="BF110" s="13"/>
      <c r="BG110" s="4"/>
      <c r="BH110" s="13"/>
      <c r="BI110" s="4"/>
      <c r="BJ110" s="13"/>
      <c r="BK110" s="4"/>
      <c r="BL110" s="13"/>
      <c r="BM110" s="4"/>
      <c r="BN110" s="13"/>
      <c r="BO110" s="4"/>
      <c r="BP110" s="13"/>
      <c r="BQ110" s="4"/>
      <c r="BR110" s="13"/>
      <c r="BS110" s="13"/>
      <c r="BT110" s="13"/>
      <c r="BU110" s="13"/>
      <c r="BV110" s="13"/>
      <c r="BW110" s="13"/>
    </row>
    <row r="111" spans="1:75" s="15" customFormat="1">
      <c r="A111" s="109"/>
      <c r="B111" s="60"/>
      <c r="C111" s="4"/>
      <c r="D111" s="4"/>
      <c r="E111" s="4"/>
      <c r="F111" s="4"/>
      <c r="G111" s="4"/>
      <c r="H111" s="4"/>
      <c r="I111" s="4"/>
      <c r="J111" s="5"/>
      <c r="K111" s="4"/>
      <c r="L111" s="138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4"/>
      <c r="AJ111" s="22"/>
      <c r="AK111" s="4"/>
      <c r="AL111" s="22"/>
      <c r="AM111" s="4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4"/>
      <c r="BF111" s="22"/>
      <c r="BG111" s="4"/>
      <c r="BH111" s="22"/>
      <c r="BI111" s="4"/>
      <c r="BJ111" s="22"/>
      <c r="BK111" s="4"/>
      <c r="BL111" s="22"/>
      <c r="BM111" s="4"/>
      <c r="BN111" s="22"/>
      <c r="BO111" s="4"/>
      <c r="BP111" s="22"/>
      <c r="BQ111" s="4"/>
      <c r="BR111" s="22"/>
      <c r="BS111" s="22"/>
      <c r="BT111" s="22"/>
      <c r="BU111" s="22"/>
      <c r="BV111" s="22"/>
      <c r="BW111" s="22"/>
    </row>
    <row r="112" spans="1:75" s="15" customFormat="1">
      <c r="A112" s="109"/>
      <c r="B112" s="60"/>
      <c r="C112" s="4"/>
      <c r="D112" s="4"/>
      <c r="E112" s="4"/>
      <c r="F112" s="4"/>
      <c r="G112" s="4"/>
      <c r="H112" s="4"/>
      <c r="I112" s="4"/>
      <c r="J112" s="5"/>
      <c r="K112" s="4"/>
      <c r="L112" s="138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4"/>
      <c r="AJ112" s="22">
        <f>83584768.91+2296826</f>
        <v>85881594.909999996</v>
      </c>
      <c r="AK112" s="4"/>
      <c r="AL112" s="22"/>
      <c r="AM112" s="4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4"/>
      <c r="BF112" s="22"/>
      <c r="BG112" s="4"/>
      <c r="BH112" s="22"/>
      <c r="BI112" s="4"/>
      <c r="BJ112" s="22"/>
      <c r="BK112" s="4"/>
      <c r="BL112" s="22"/>
      <c r="BM112" s="4"/>
      <c r="BN112" s="22"/>
      <c r="BO112" s="4"/>
      <c r="BP112" s="22"/>
      <c r="BQ112" s="4"/>
      <c r="BR112" s="22"/>
      <c r="BS112" s="22"/>
      <c r="BT112" s="22"/>
      <c r="BU112" s="22"/>
      <c r="BV112" s="22"/>
      <c r="BW112" s="22"/>
    </row>
    <row r="113" spans="1:75">
      <c r="A113" s="58" t="s">
        <v>25</v>
      </c>
      <c r="B113" s="58"/>
      <c r="E113" s="4"/>
      <c r="G113" s="4"/>
      <c r="I113" s="4"/>
      <c r="L113" s="138"/>
      <c r="M113" s="22"/>
      <c r="O113" s="22"/>
      <c r="Q113" s="22"/>
      <c r="S113" s="22"/>
      <c r="T113" s="6"/>
      <c r="U113" s="6"/>
      <c r="V113" s="6"/>
      <c r="X113" s="6"/>
      <c r="Z113" s="6"/>
      <c r="AB113" s="6"/>
      <c r="AD113" s="6"/>
      <c r="AI113" s="4"/>
      <c r="BJ113" s="6"/>
      <c r="BL113" s="6"/>
      <c r="BP113" s="6"/>
      <c r="BS113" s="22"/>
      <c r="BU113" s="22"/>
      <c r="BW113" s="6"/>
    </row>
    <row r="114" spans="1:75">
      <c r="A114" s="17"/>
      <c r="B114" s="17" t="s">
        <v>377</v>
      </c>
      <c r="E114" s="4"/>
      <c r="G114" s="4"/>
      <c r="I114" s="4"/>
      <c r="J114" s="5" t="s">
        <v>0</v>
      </c>
      <c r="L114" s="138" t="s">
        <v>202</v>
      </c>
      <c r="M114" s="22"/>
      <c r="N114" s="6">
        <v>0</v>
      </c>
      <c r="O114" s="22"/>
      <c r="P114" s="6">
        <v>0</v>
      </c>
      <c r="Q114" s="22"/>
      <c r="R114" s="6">
        <v>185000</v>
      </c>
      <c r="S114" s="22"/>
      <c r="T114" s="6">
        <v>0</v>
      </c>
      <c r="U114" s="6"/>
      <c r="V114" s="6">
        <v>0</v>
      </c>
      <c r="X114" s="6">
        <v>0</v>
      </c>
      <c r="Z114" s="6">
        <v>0</v>
      </c>
      <c r="AB114" s="6">
        <v>0</v>
      </c>
      <c r="AD114" s="6">
        <v>0</v>
      </c>
      <c r="AF114" s="6">
        <v>0</v>
      </c>
      <c r="AH114" s="6">
        <v>0</v>
      </c>
      <c r="AI114" s="4"/>
      <c r="AJ114" s="6">
        <v>0</v>
      </c>
      <c r="AL114" s="6">
        <v>0</v>
      </c>
      <c r="AN114" s="6">
        <v>0</v>
      </c>
      <c r="AP114" s="6">
        <v>0</v>
      </c>
      <c r="AR114" s="6">
        <v>0</v>
      </c>
      <c r="AT114" s="6">
        <v>0</v>
      </c>
      <c r="AV114" s="6">
        <v>37000</v>
      </c>
      <c r="AX114" s="6">
        <v>37000</v>
      </c>
      <c r="AZ114" s="6">
        <v>37000</v>
      </c>
      <c r="BB114" s="6">
        <v>37000</v>
      </c>
      <c r="BD114" s="6">
        <v>37000</v>
      </c>
      <c r="BF114" s="6">
        <v>0</v>
      </c>
      <c r="BH114" s="6">
        <v>0</v>
      </c>
      <c r="BJ114" s="6">
        <v>0</v>
      </c>
      <c r="BL114" s="6">
        <v>0</v>
      </c>
      <c r="BN114" s="6">
        <f>SUM(T114:BM114)</f>
        <v>185000</v>
      </c>
      <c r="BP114" s="6">
        <v>0</v>
      </c>
      <c r="BR114" s="6">
        <f>IF(+R114-BN114+BP114&gt;0,R114-BN114+BP114,0)</f>
        <v>0</v>
      </c>
      <c r="BS114" s="22"/>
      <c r="BT114" s="6">
        <f>+BN114+BR114</f>
        <v>185000</v>
      </c>
      <c r="BU114" s="22"/>
      <c r="BV114" s="6">
        <f>+R114-BT114</f>
        <v>0</v>
      </c>
      <c r="BW114" s="6"/>
    </row>
    <row r="115" spans="1:75">
      <c r="A115" s="17"/>
      <c r="B115" s="17" t="s">
        <v>379</v>
      </c>
      <c r="E115" s="4"/>
      <c r="G115" s="4"/>
      <c r="I115" s="4"/>
      <c r="L115" s="138" t="s">
        <v>202</v>
      </c>
      <c r="M115" s="22"/>
      <c r="N115" s="6">
        <v>0</v>
      </c>
      <c r="O115" s="22"/>
      <c r="P115" s="6">
        <v>0</v>
      </c>
      <c r="Q115" s="22"/>
      <c r="R115" s="6">
        <v>723786</v>
      </c>
      <c r="S115" s="22"/>
      <c r="T115" s="6">
        <v>0</v>
      </c>
      <c r="U115" s="6"/>
      <c r="V115" s="6">
        <v>0</v>
      </c>
      <c r="X115" s="6">
        <v>0</v>
      </c>
      <c r="Z115" s="6">
        <v>0</v>
      </c>
      <c r="AB115" s="6">
        <v>0</v>
      </c>
      <c r="AD115" s="6">
        <v>0</v>
      </c>
      <c r="AF115" s="6">
        <v>0</v>
      </c>
      <c r="AH115" s="6">
        <v>0</v>
      </c>
      <c r="AI115" s="4"/>
      <c r="AJ115" s="6">
        <v>0</v>
      </c>
      <c r="AL115" s="6">
        <v>0</v>
      </c>
      <c r="AN115" s="6">
        <v>0</v>
      </c>
      <c r="AP115" s="6">
        <v>0</v>
      </c>
      <c r="AR115" s="6">
        <v>0</v>
      </c>
      <c r="AT115" s="6">
        <v>0</v>
      </c>
      <c r="AX115" s="6">
        <f>60063+44589</f>
        <v>104652</v>
      </c>
      <c r="AZ115" s="6">
        <v>114711.83</v>
      </c>
      <c r="BB115" s="6">
        <v>194341.7</v>
      </c>
      <c r="BD115" s="6">
        <v>157200.32000000001</v>
      </c>
      <c r="BF115" s="6">
        <v>64914.39</v>
      </c>
      <c r="BH115" s="6">
        <v>33881.379999999997</v>
      </c>
      <c r="BJ115" s="6">
        <v>37188</v>
      </c>
      <c r="BL115" s="6">
        <v>20139</v>
      </c>
      <c r="BN115" s="6">
        <f>SUM(T115:BM115)</f>
        <v>727028.62000000011</v>
      </c>
      <c r="BP115" s="6">
        <v>0</v>
      </c>
      <c r="BR115" s="6">
        <v>0</v>
      </c>
      <c r="BS115" s="22"/>
      <c r="BT115" s="6">
        <f>+BN115+BR115</f>
        <v>727028.62000000011</v>
      </c>
      <c r="BU115" s="22"/>
      <c r="BV115" s="6">
        <f>+R115-BT115</f>
        <v>-3242.6200000001118</v>
      </c>
      <c r="BW115" s="6"/>
    </row>
    <row r="116" spans="1:75" hidden="1">
      <c r="A116" s="17"/>
      <c r="B116" s="17" t="s">
        <v>121</v>
      </c>
      <c r="E116" s="4"/>
      <c r="G116" s="4"/>
      <c r="I116" s="4"/>
      <c r="L116" s="138" t="s">
        <v>202</v>
      </c>
      <c r="M116" s="22"/>
      <c r="N116" s="6">
        <v>0</v>
      </c>
      <c r="O116" s="22"/>
      <c r="P116" s="6">
        <v>0</v>
      </c>
      <c r="Q116" s="22"/>
      <c r="R116" s="6">
        <v>0</v>
      </c>
      <c r="S116" s="22"/>
      <c r="T116" s="6">
        <v>0</v>
      </c>
      <c r="U116" s="6"/>
      <c r="V116" s="6">
        <v>0</v>
      </c>
      <c r="X116" s="6">
        <v>0</v>
      </c>
      <c r="Z116" s="6">
        <v>0</v>
      </c>
      <c r="AB116" s="6">
        <v>0</v>
      </c>
      <c r="AD116" s="6">
        <v>0</v>
      </c>
      <c r="AF116" s="6">
        <v>0</v>
      </c>
      <c r="AH116" s="6">
        <v>0</v>
      </c>
      <c r="AI116" s="4"/>
      <c r="AJ116" s="6">
        <v>0</v>
      </c>
      <c r="AL116" s="6">
        <v>0</v>
      </c>
      <c r="AN116" s="6">
        <v>0</v>
      </c>
      <c r="AP116" s="6">
        <v>0</v>
      </c>
      <c r="AR116" s="6">
        <v>0</v>
      </c>
      <c r="AT116" s="6">
        <v>0</v>
      </c>
      <c r="AV116" s="6">
        <v>0</v>
      </c>
      <c r="AX116" s="6">
        <v>0</v>
      </c>
      <c r="AZ116" s="6">
        <v>0</v>
      </c>
      <c r="BB116" s="6">
        <v>0</v>
      </c>
      <c r="BD116" s="6">
        <v>0</v>
      </c>
      <c r="BF116" s="6">
        <v>0</v>
      </c>
      <c r="BH116" s="6">
        <v>0</v>
      </c>
      <c r="BJ116" s="6">
        <v>0</v>
      </c>
      <c r="BL116" s="6">
        <v>0</v>
      </c>
      <c r="BN116" s="6">
        <f>SUM(T116:BM116)</f>
        <v>0</v>
      </c>
      <c r="BP116" s="6">
        <v>0</v>
      </c>
      <c r="BR116" s="6">
        <f>+R116-BN116+BP116</f>
        <v>0</v>
      </c>
      <c r="BS116" s="22"/>
      <c r="BT116" s="6">
        <f>+BN116+BR116</f>
        <v>0</v>
      </c>
      <c r="BU116" s="22"/>
      <c r="BV116" s="6">
        <f>+R116-BT116</f>
        <v>0</v>
      </c>
      <c r="BW116" s="6"/>
    </row>
    <row r="117" spans="1:75" s="21" customFormat="1">
      <c r="A117" s="58"/>
      <c r="B117" s="58" t="s">
        <v>247</v>
      </c>
      <c r="J117" s="8"/>
      <c r="L117" s="141"/>
      <c r="M117" s="16"/>
      <c r="N117" s="102">
        <f>SUM(N114:N116)</f>
        <v>0</v>
      </c>
      <c r="O117" s="16"/>
      <c r="P117" s="102">
        <f>SUM(P114:P116)</f>
        <v>0</v>
      </c>
      <c r="Q117" s="16"/>
      <c r="R117" s="102">
        <f>SUM(R114:R116)</f>
        <v>908786</v>
      </c>
      <c r="S117" s="16"/>
      <c r="T117" s="102">
        <f>SUM(T114:T116)</f>
        <v>0</v>
      </c>
      <c r="U117" s="9"/>
      <c r="V117" s="102">
        <f>SUM(V114:V116)</f>
        <v>0</v>
      </c>
      <c r="W117" s="9"/>
      <c r="X117" s="102">
        <f>SUM(X114:X116)</f>
        <v>0</v>
      </c>
      <c r="Y117" s="9"/>
      <c r="Z117" s="102">
        <f>SUM(Z114:Z116)</f>
        <v>0</v>
      </c>
      <c r="AA117" s="9"/>
      <c r="AB117" s="102">
        <f>SUM(AB114:AB116)</f>
        <v>0</v>
      </c>
      <c r="AC117" s="9"/>
      <c r="AD117" s="102">
        <f>SUM(AD114:AD116)</f>
        <v>0</v>
      </c>
      <c r="AE117" s="9"/>
      <c r="AF117" s="102">
        <f>SUM(AF114:AF116)</f>
        <v>0</v>
      </c>
      <c r="AG117" s="9"/>
      <c r="AH117" s="102">
        <f>SUM(AH114:AH116)</f>
        <v>0</v>
      </c>
      <c r="AI117" s="4"/>
      <c r="AJ117" s="102">
        <f>SUM(AJ114:AJ116)</f>
        <v>0</v>
      </c>
      <c r="AK117" s="4"/>
      <c r="AL117" s="102">
        <f>SUM(AL114:AL116)</f>
        <v>0</v>
      </c>
      <c r="AM117" s="4"/>
      <c r="AN117" s="102">
        <f>SUM(AN114:AN116)</f>
        <v>0</v>
      </c>
      <c r="AO117" s="9"/>
      <c r="AP117" s="102">
        <f>SUM(AP114:AP116)</f>
        <v>0</v>
      </c>
      <c r="AQ117" s="9"/>
      <c r="AR117" s="102">
        <f>SUM(AR114:AR116)</f>
        <v>0</v>
      </c>
      <c r="AS117" s="9"/>
      <c r="AT117" s="102">
        <f>SUM(AT114:AT116)</f>
        <v>0</v>
      </c>
      <c r="AU117" s="10"/>
      <c r="AV117" s="102">
        <f>SUM(AV114:AV116)</f>
        <v>37000</v>
      </c>
      <c r="AW117" s="10"/>
      <c r="AX117" s="102">
        <f>SUM(AX114:AX116)</f>
        <v>141652</v>
      </c>
      <c r="AY117" s="10"/>
      <c r="AZ117" s="102">
        <f>SUM(AZ114:AZ116)</f>
        <v>151711.83000000002</v>
      </c>
      <c r="BA117" s="10"/>
      <c r="BB117" s="102">
        <f>SUM(BB114:BB116)</f>
        <v>231341.7</v>
      </c>
      <c r="BC117" s="10"/>
      <c r="BD117" s="102">
        <f>SUM(BD114:BD116)</f>
        <v>194200.32000000001</v>
      </c>
      <c r="BE117" s="4"/>
      <c r="BF117" s="102">
        <f>SUM(BF114:BF116)</f>
        <v>64914.39</v>
      </c>
      <c r="BG117" s="4"/>
      <c r="BH117" s="102">
        <f>SUM(BH114:BH116)</f>
        <v>33881.379999999997</v>
      </c>
      <c r="BI117" s="4"/>
      <c r="BJ117" s="102">
        <f>SUM(BJ114:BJ116)</f>
        <v>37188</v>
      </c>
      <c r="BK117" s="4"/>
      <c r="BL117" s="102">
        <f>SUM(BL114:BL116)</f>
        <v>20139</v>
      </c>
      <c r="BM117" s="4"/>
      <c r="BN117" s="108">
        <f>SUM(BN114:BN116)</f>
        <v>912028.62000000011</v>
      </c>
      <c r="BO117" s="4"/>
      <c r="BP117" s="102">
        <f>SUM(BP114:BP116)</f>
        <v>0</v>
      </c>
      <c r="BQ117" s="4"/>
      <c r="BR117" s="102">
        <f>SUM(BR114:BR116)</f>
        <v>0</v>
      </c>
      <c r="BS117" s="16"/>
      <c r="BT117" s="102">
        <f>SUM(BT114:BT116)</f>
        <v>912028.62000000011</v>
      </c>
      <c r="BU117" s="16"/>
      <c r="BV117" s="102">
        <f>SUM(BV114:BV116)</f>
        <v>-3242.6200000001118</v>
      </c>
      <c r="BW117" s="9"/>
    </row>
    <row r="118" spans="1:75" s="21" customFormat="1">
      <c r="A118" s="58"/>
      <c r="B118" s="58"/>
      <c r="J118" s="8"/>
      <c r="L118" s="141"/>
      <c r="M118" s="16"/>
      <c r="N118" s="10"/>
      <c r="O118" s="16"/>
      <c r="P118" s="10"/>
      <c r="Q118" s="16"/>
      <c r="R118" s="10"/>
      <c r="S118" s="16"/>
      <c r="T118" s="10"/>
      <c r="U118" s="9"/>
      <c r="V118" s="10"/>
      <c r="W118" s="9"/>
      <c r="X118" s="10"/>
      <c r="Y118" s="9"/>
      <c r="Z118" s="10"/>
      <c r="AA118" s="9"/>
      <c r="AB118" s="10"/>
      <c r="AC118" s="9"/>
      <c r="AD118" s="10"/>
      <c r="AE118" s="9"/>
      <c r="AF118" s="10"/>
      <c r="AG118" s="9"/>
      <c r="AH118" s="10"/>
      <c r="AI118" s="4"/>
      <c r="AJ118" s="10"/>
      <c r="AK118" s="4"/>
      <c r="AL118" s="10"/>
      <c r="AM118" s="4"/>
      <c r="AN118" s="10"/>
      <c r="AO118" s="9"/>
      <c r="AP118" s="10"/>
      <c r="AQ118" s="9"/>
      <c r="AR118" s="10"/>
      <c r="AS118" s="9"/>
      <c r="AT118" s="10"/>
      <c r="AU118" s="10"/>
      <c r="AV118" s="10"/>
      <c r="AW118" s="10"/>
      <c r="AX118" s="10"/>
      <c r="AY118" s="10"/>
      <c r="AZ118" s="10"/>
      <c r="BA118" s="10"/>
      <c r="BB118" s="10"/>
      <c r="BC118" s="10"/>
      <c r="BD118" s="10"/>
      <c r="BE118" s="4"/>
      <c r="BF118" s="10"/>
      <c r="BG118" s="4"/>
      <c r="BH118" s="10"/>
      <c r="BI118" s="4"/>
      <c r="BJ118" s="10"/>
      <c r="BK118" s="4"/>
      <c r="BL118" s="10"/>
      <c r="BM118" s="4"/>
      <c r="BN118" s="10"/>
      <c r="BO118" s="4"/>
      <c r="BP118" s="10"/>
      <c r="BQ118" s="4"/>
      <c r="BR118" s="10"/>
      <c r="BS118" s="16"/>
      <c r="BT118" s="10"/>
      <c r="BU118" s="16"/>
      <c r="BV118" s="10"/>
      <c r="BW118" s="9"/>
    </row>
    <row r="120" spans="1:75" s="21" customFormat="1">
      <c r="A120" s="77"/>
      <c r="B120" s="58"/>
      <c r="J120" s="8"/>
      <c r="L120" s="141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4"/>
      <c r="AJ120" s="9"/>
      <c r="AK120" s="4"/>
      <c r="AL120" s="9"/>
      <c r="AM120" s="4"/>
      <c r="AN120" s="9"/>
      <c r="AO120" s="9"/>
      <c r="AP120" s="9"/>
      <c r="AQ120" s="9"/>
      <c r="AR120" s="9"/>
      <c r="AS120" s="9"/>
      <c r="AT120" s="9"/>
      <c r="AU120" s="9"/>
      <c r="AV120" s="9"/>
      <c r="AW120" s="9"/>
      <c r="AX120" s="9"/>
      <c r="AY120" s="9"/>
      <c r="AZ120" s="9"/>
      <c r="BA120" s="9"/>
      <c r="BB120" s="9"/>
      <c r="BC120" s="9"/>
      <c r="BD120" s="9"/>
      <c r="BE120" s="4"/>
      <c r="BF120" s="9"/>
      <c r="BG120" s="4"/>
      <c r="BH120" s="9"/>
      <c r="BI120" s="4"/>
      <c r="BJ120" s="9"/>
      <c r="BK120" s="4"/>
      <c r="BL120" s="9"/>
      <c r="BM120" s="4"/>
      <c r="BN120" s="9"/>
      <c r="BO120" s="4"/>
      <c r="BP120" s="9"/>
      <c r="BQ120" s="4"/>
      <c r="BR120" s="9"/>
      <c r="BS120" s="9"/>
      <c r="BT120" s="9"/>
      <c r="BU120" s="9"/>
      <c r="BV120" s="9"/>
      <c r="BW120" s="9"/>
    </row>
    <row r="121" spans="1:75" s="21" customFormat="1">
      <c r="A121" s="58" t="s">
        <v>216</v>
      </c>
      <c r="B121" s="31"/>
      <c r="J121" s="8" t="s">
        <v>0</v>
      </c>
      <c r="L121" s="138" t="s">
        <v>202</v>
      </c>
      <c r="M121" s="9"/>
      <c r="N121" s="9">
        <v>400000</v>
      </c>
      <c r="O121" s="9"/>
      <c r="P121" s="9">
        <v>100000</v>
      </c>
      <c r="Q121" s="9"/>
      <c r="R121" s="9">
        <v>0</v>
      </c>
      <c r="S121" s="9"/>
      <c r="T121" s="9">
        <v>0</v>
      </c>
      <c r="U121" s="9"/>
      <c r="V121" s="9">
        <v>0</v>
      </c>
      <c r="W121" s="9"/>
      <c r="X121" s="9">
        <v>0</v>
      </c>
      <c r="Y121" s="9"/>
      <c r="Z121" s="9">
        <v>0</v>
      </c>
      <c r="AA121" s="9"/>
      <c r="AB121" s="9">
        <v>0</v>
      </c>
      <c r="AC121" s="9"/>
      <c r="AD121" s="9">
        <v>0</v>
      </c>
      <c r="AE121" s="9"/>
      <c r="AF121" s="9">
        <v>0</v>
      </c>
      <c r="AG121" s="9"/>
      <c r="AH121" s="9">
        <v>0</v>
      </c>
      <c r="AI121" s="4"/>
      <c r="AJ121" s="9">
        <v>0</v>
      </c>
      <c r="AK121" s="4"/>
      <c r="AL121" s="9">
        <v>0</v>
      </c>
      <c r="AM121" s="4"/>
      <c r="AN121" s="9">
        <v>0</v>
      </c>
      <c r="AO121" s="9"/>
      <c r="AP121" s="9">
        <v>0</v>
      </c>
      <c r="AQ121" s="9"/>
      <c r="AR121" s="9">
        <v>216381.67</v>
      </c>
      <c r="AS121" s="9"/>
      <c r="AT121" s="9">
        <v>2174.14</v>
      </c>
      <c r="AU121" s="9"/>
      <c r="AV121" s="9">
        <v>0</v>
      </c>
      <c r="AW121" s="9"/>
      <c r="AX121" s="9">
        <v>168836</v>
      </c>
      <c r="AY121" s="9"/>
      <c r="AZ121" s="9">
        <v>0</v>
      </c>
      <c r="BA121" s="9"/>
      <c r="BB121" s="9">
        <v>6527.91</v>
      </c>
      <c r="BC121" s="9"/>
      <c r="BD121" s="9">
        <v>0</v>
      </c>
      <c r="BE121" s="4"/>
      <c r="BF121" s="9">
        <v>2743.49</v>
      </c>
      <c r="BG121" s="4"/>
      <c r="BH121" s="9">
        <v>0</v>
      </c>
      <c r="BI121" s="4"/>
      <c r="BJ121" s="9">
        <v>0</v>
      </c>
      <c r="BK121" s="4"/>
      <c r="BL121" s="9">
        <v>0</v>
      </c>
      <c r="BM121" s="4"/>
      <c r="BN121" s="9">
        <f>SUM(T121:BM121)</f>
        <v>396663.21</v>
      </c>
      <c r="BO121" s="4"/>
      <c r="BP121" s="9">
        <v>2743.49</v>
      </c>
      <c r="BQ121" s="4"/>
      <c r="BR121" s="6">
        <f>IF(+R121-BN121+BP121&gt;0,R121-BN121+BP121,0)</f>
        <v>0</v>
      </c>
      <c r="BS121" s="9"/>
      <c r="BT121" s="9">
        <f>+BN121+BR121</f>
        <v>396663.21</v>
      </c>
      <c r="BU121" s="9"/>
      <c r="BV121" s="9">
        <f>+R121-BT121</f>
        <v>-396663.21</v>
      </c>
      <c r="BW121" s="9"/>
    </row>
    <row r="122" spans="1:75" s="21" customFormat="1">
      <c r="A122" s="58"/>
      <c r="B122" s="31"/>
      <c r="J122" s="8"/>
      <c r="L122" s="138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4"/>
      <c r="AJ122" s="9"/>
      <c r="AK122" s="4"/>
      <c r="AL122" s="9"/>
      <c r="AM122" s="4"/>
      <c r="AN122" s="9"/>
      <c r="AO122" s="9"/>
      <c r="AP122" s="9"/>
      <c r="AQ122" s="9"/>
      <c r="AR122" s="9"/>
      <c r="AS122" s="9"/>
      <c r="AT122" s="9"/>
      <c r="AU122" s="9"/>
      <c r="AV122" s="9"/>
      <c r="AW122" s="9"/>
      <c r="AX122" s="9"/>
      <c r="AY122" s="9"/>
      <c r="AZ122" s="9"/>
      <c r="BA122" s="9"/>
      <c r="BB122" s="9"/>
      <c r="BC122" s="9"/>
      <c r="BD122" s="9"/>
      <c r="BE122" s="4"/>
      <c r="BF122" s="9"/>
      <c r="BG122" s="4"/>
      <c r="BH122" s="9"/>
      <c r="BI122" s="4"/>
      <c r="BJ122" s="9"/>
      <c r="BK122" s="4"/>
      <c r="BL122" s="9"/>
      <c r="BM122" s="4"/>
      <c r="BN122" s="9"/>
      <c r="BO122" s="4"/>
      <c r="BP122" s="9"/>
      <c r="BQ122" s="4"/>
      <c r="BR122" s="9"/>
      <c r="BS122" s="9"/>
      <c r="BT122" s="9"/>
      <c r="BU122" s="9"/>
      <c r="BV122" s="9"/>
      <c r="BW122" s="9"/>
    </row>
    <row r="123" spans="1:75" s="31" customFormat="1">
      <c r="A123" s="58" t="s">
        <v>30</v>
      </c>
      <c r="J123" s="156" t="s">
        <v>0</v>
      </c>
      <c r="L123" s="143" t="s">
        <v>202</v>
      </c>
      <c r="M123" s="10"/>
      <c r="N123" s="10">
        <v>0</v>
      </c>
      <c r="O123" s="10"/>
      <c r="P123" s="10">
        <v>0</v>
      </c>
      <c r="Q123" s="10"/>
      <c r="R123" s="9">
        <v>500000</v>
      </c>
      <c r="S123" s="10"/>
      <c r="T123" s="10">
        <v>0</v>
      </c>
      <c r="U123" s="10"/>
      <c r="V123" s="10">
        <v>0</v>
      </c>
      <c r="W123" s="10"/>
      <c r="X123" s="10">
        <v>0</v>
      </c>
      <c r="Y123" s="10"/>
      <c r="Z123" s="10">
        <v>0</v>
      </c>
      <c r="AA123" s="10"/>
      <c r="AB123" s="10">
        <v>0</v>
      </c>
      <c r="AC123" s="10"/>
      <c r="AD123" s="10">
        <v>0</v>
      </c>
      <c r="AE123" s="10"/>
      <c r="AF123" s="10">
        <v>0</v>
      </c>
      <c r="AG123" s="10"/>
      <c r="AH123" s="10">
        <v>0</v>
      </c>
      <c r="AI123" s="4"/>
      <c r="AJ123" s="10">
        <v>0</v>
      </c>
      <c r="AK123" s="4"/>
      <c r="AL123" s="10">
        <v>0</v>
      </c>
      <c r="AM123" s="4"/>
      <c r="AN123" s="10">
        <v>0</v>
      </c>
      <c r="AO123" s="10"/>
      <c r="AP123" s="10">
        <v>0</v>
      </c>
      <c r="AQ123" s="10"/>
      <c r="AR123" s="10">
        <v>0</v>
      </c>
      <c r="AS123" s="10"/>
      <c r="AT123" s="10">
        <v>0</v>
      </c>
      <c r="AU123" s="10"/>
      <c r="AV123" s="10">
        <v>0</v>
      </c>
      <c r="AW123" s="10"/>
      <c r="AX123" s="10">
        <v>0</v>
      </c>
      <c r="AY123" s="10"/>
      <c r="AZ123" s="10">
        <v>0</v>
      </c>
      <c r="BA123" s="10"/>
      <c r="BB123" s="10">
        <v>0</v>
      </c>
      <c r="BC123" s="10"/>
      <c r="BD123" s="10">
        <v>0</v>
      </c>
      <c r="BE123" s="4"/>
      <c r="BF123" s="10"/>
      <c r="BG123" s="4"/>
      <c r="BH123" s="10">
        <v>0</v>
      </c>
      <c r="BI123" s="4"/>
      <c r="BJ123" s="10">
        <v>359494</v>
      </c>
      <c r="BK123" s="4"/>
      <c r="BL123" s="10">
        <v>0</v>
      </c>
      <c r="BM123" s="4"/>
      <c r="BN123" s="10">
        <f>SUM(T123:BM123)</f>
        <v>359494</v>
      </c>
      <c r="BO123" s="4"/>
      <c r="BP123" s="10">
        <v>0</v>
      </c>
      <c r="BQ123" s="4"/>
      <c r="BR123" s="6">
        <f>IF(+R123-BN123+BP123&gt;0,R123-BN123+BP123,0)</f>
        <v>140506</v>
      </c>
      <c r="BS123" s="10"/>
      <c r="BT123" s="9">
        <f>+BN123+BR123</f>
        <v>500000</v>
      </c>
      <c r="BU123" s="10"/>
      <c r="BV123" s="9">
        <f>+R123-BT123</f>
        <v>0</v>
      </c>
      <c r="BW123" s="10"/>
    </row>
    <row r="124" spans="1:75" s="21" customFormat="1">
      <c r="A124" s="58"/>
      <c r="B124" s="31"/>
      <c r="J124" s="8"/>
      <c r="L124" s="138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4"/>
      <c r="AJ124" s="9"/>
      <c r="AK124" s="4"/>
      <c r="AL124" s="9"/>
      <c r="AM124" s="4"/>
      <c r="AN124" s="9"/>
      <c r="AO124" s="9"/>
      <c r="AP124" s="9"/>
      <c r="AQ124" s="9"/>
      <c r="AR124" s="9"/>
      <c r="AS124" s="9"/>
      <c r="AT124" s="9"/>
      <c r="AU124" s="9"/>
      <c r="AV124" s="9"/>
      <c r="AW124" s="9"/>
      <c r="AX124" s="9"/>
      <c r="AY124" s="9"/>
      <c r="AZ124" s="9"/>
      <c r="BA124" s="9"/>
      <c r="BB124" s="9"/>
      <c r="BC124" s="9"/>
      <c r="BD124" s="9"/>
      <c r="BE124" s="4"/>
      <c r="BF124" s="9"/>
      <c r="BG124" s="4"/>
      <c r="BH124" s="9"/>
      <c r="BI124" s="4"/>
      <c r="BJ124" s="9"/>
      <c r="BK124" s="4"/>
      <c r="BL124" s="9"/>
      <c r="BM124" s="4"/>
      <c r="BN124" s="9"/>
      <c r="BO124" s="4"/>
      <c r="BP124" s="9"/>
      <c r="BQ124" s="4"/>
      <c r="BR124" s="9"/>
      <c r="BS124" s="9"/>
      <c r="BT124" s="9"/>
      <c r="BU124" s="9"/>
      <c r="BV124" s="9"/>
      <c r="BW124" s="9"/>
    </row>
    <row r="125" spans="1:75" s="21" customFormat="1">
      <c r="A125" s="58" t="s">
        <v>26</v>
      </c>
      <c r="B125" s="58"/>
      <c r="J125" s="8" t="s">
        <v>0</v>
      </c>
      <c r="L125" s="138" t="s">
        <v>202</v>
      </c>
      <c r="M125" s="16"/>
      <c r="N125" s="9">
        <v>0</v>
      </c>
      <c r="O125" s="16"/>
      <c r="P125" s="9">
        <v>0</v>
      </c>
      <c r="Q125" s="16"/>
      <c r="R125" s="9">
        <v>1253881</v>
      </c>
      <c r="S125" s="16"/>
      <c r="T125" s="9">
        <v>0</v>
      </c>
      <c r="U125" s="9"/>
      <c r="V125" s="9">
        <v>0</v>
      </c>
      <c r="W125" s="9"/>
      <c r="X125" s="9">
        <v>0</v>
      </c>
      <c r="Y125" s="9"/>
      <c r="Z125" s="9">
        <v>0</v>
      </c>
      <c r="AA125" s="9"/>
      <c r="AB125" s="9">
        <v>0</v>
      </c>
      <c r="AC125" s="9"/>
      <c r="AD125" s="9">
        <v>0</v>
      </c>
      <c r="AE125" s="9"/>
      <c r="AF125" s="9">
        <v>0</v>
      </c>
      <c r="AG125" s="9"/>
      <c r="AH125" s="9">
        <v>0</v>
      </c>
      <c r="AI125" s="4"/>
      <c r="AJ125" s="9">
        <v>0</v>
      </c>
      <c r="AK125" s="4"/>
      <c r="AL125" s="9">
        <v>0</v>
      </c>
      <c r="AM125" s="4"/>
      <c r="AN125" s="9">
        <v>0</v>
      </c>
      <c r="AO125" s="9"/>
      <c r="AP125" s="9">
        <v>0</v>
      </c>
      <c r="AQ125" s="9"/>
      <c r="AR125" s="9">
        <v>0</v>
      </c>
      <c r="AS125" s="9"/>
      <c r="AT125" s="9">
        <v>0</v>
      </c>
      <c r="AU125" s="9"/>
      <c r="AV125" s="9">
        <v>0</v>
      </c>
      <c r="AW125" s="9"/>
      <c r="AX125" s="9">
        <v>0</v>
      </c>
      <c r="AY125" s="9"/>
      <c r="AZ125" s="9">
        <v>0</v>
      </c>
      <c r="BA125" s="9"/>
      <c r="BB125" s="9">
        <v>0</v>
      </c>
      <c r="BC125" s="9"/>
      <c r="BD125" s="9">
        <v>29469.43</v>
      </c>
      <c r="BE125" s="4"/>
      <c r="BF125" s="9">
        <v>271859.17</v>
      </c>
      <c r="BG125" s="4"/>
      <c r="BH125" s="9">
        <v>201156.09</v>
      </c>
      <c r="BI125" s="4"/>
      <c r="BJ125" s="9">
        <v>3218</v>
      </c>
      <c r="BK125" s="4"/>
      <c r="BL125" s="9">
        <v>0</v>
      </c>
      <c r="BM125" s="4"/>
      <c r="BN125" s="16">
        <f>SUM(T125:BM125)</f>
        <v>505702.68999999994</v>
      </c>
      <c r="BO125" s="4"/>
      <c r="BP125" s="9">
        <v>0</v>
      </c>
      <c r="BQ125" s="4"/>
      <c r="BR125" s="6">
        <f>IF(+R125-BN125+BP125&gt;0,R125-BN125+BP125,0)</f>
        <v>748178.31</v>
      </c>
      <c r="BS125" s="16"/>
      <c r="BT125" s="9">
        <f>+BN125+BR125</f>
        <v>1253881</v>
      </c>
      <c r="BU125" s="16"/>
      <c r="BV125" s="9">
        <f>+R125-BT125</f>
        <v>0</v>
      </c>
      <c r="BW125" s="9"/>
    </row>
    <row r="126" spans="1:75" s="21" customFormat="1">
      <c r="A126" s="58"/>
      <c r="B126" s="31"/>
      <c r="J126" s="8"/>
      <c r="L126" s="138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4"/>
      <c r="AJ126" s="9"/>
      <c r="AK126" s="4"/>
      <c r="AL126" s="9"/>
      <c r="AM126" s="4"/>
      <c r="AN126" s="9"/>
      <c r="AO126" s="9"/>
      <c r="AP126" s="9"/>
      <c r="AQ126" s="9"/>
      <c r="AR126" s="9"/>
      <c r="AS126" s="9"/>
      <c r="AT126" s="9"/>
      <c r="AU126" s="9"/>
      <c r="AV126" s="9"/>
      <c r="AW126" s="9"/>
      <c r="AX126" s="9"/>
      <c r="AY126" s="9"/>
      <c r="AZ126" s="9"/>
      <c r="BA126" s="9"/>
      <c r="BB126" s="9"/>
      <c r="BC126" s="9"/>
      <c r="BD126" s="9"/>
      <c r="BE126" s="4"/>
      <c r="BF126" s="9"/>
      <c r="BG126" s="4"/>
      <c r="BH126" s="9"/>
      <c r="BI126" s="4"/>
      <c r="BJ126" s="9"/>
      <c r="BK126" s="4"/>
      <c r="BL126" s="9"/>
      <c r="BM126" s="4"/>
      <c r="BN126" s="9"/>
      <c r="BO126" s="4"/>
      <c r="BP126" s="9"/>
      <c r="BQ126" s="4"/>
      <c r="BR126" s="9"/>
      <c r="BS126" s="9"/>
      <c r="BT126" s="9"/>
      <c r="BU126" s="9"/>
      <c r="BV126" s="9"/>
      <c r="BW126" s="9"/>
    </row>
    <row r="127" spans="1:75">
      <c r="A127" s="58" t="s">
        <v>27</v>
      </c>
      <c r="B127" s="11"/>
      <c r="E127" s="4"/>
      <c r="G127" s="4"/>
      <c r="I127" s="4"/>
      <c r="L127" s="138"/>
      <c r="M127" s="6"/>
      <c r="O127" s="6"/>
      <c r="Q127" s="6"/>
      <c r="S127" s="6"/>
      <c r="T127" s="6"/>
      <c r="U127" s="6"/>
      <c r="V127" s="6"/>
      <c r="X127" s="6"/>
      <c r="Z127" s="6"/>
      <c r="AB127" s="6"/>
      <c r="AD127" s="6"/>
      <c r="AI127" s="4"/>
      <c r="BJ127" s="6"/>
      <c r="BL127" s="6"/>
      <c r="BP127" s="6"/>
      <c r="BW127" s="6"/>
    </row>
    <row r="128" spans="1:75">
      <c r="A128" s="17"/>
      <c r="B128" s="11" t="s">
        <v>207</v>
      </c>
      <c r="E128" s="4"/>
      <c r="G128" s="4"/>
      <c r="I128" s="4"/>
      <c r="J128" s="5" t="s">
        <v>0</v>
      </c>
      <c r="L128" s="138" t="s">
        <v>202</v>
      </c>
      <c r="M128" s="6"/>
      <c r="N128" s="6">
        <v>0</v>
      </c>
      <c r="O128" s="6"/>
      <c r="P128" s="6">
        <v>0</v>
      </c>
      <c r="Q128" s="6"/>
      <c r="R128" s="6">
        <v>28500</v>
      </c>
      <c r="S128" s="6"/>
      <c r="T128" s="6">
        <v>0</v>
      </c>
      <c r="U128" s="6"/>
      <c r="V128" s="6">
        <v>0</v>
      </c>
      <c r="X128" s="6">
        <v>0</v>
      </c>
      <c r="Z128" s="6">
        <v>20000</v>
      </c>
      <c r="AB128" s="6">
        <v>0</v>
      </c>
      <c r="AD128" s="6">
        <v>8500</v>
      </c>
      <c r="AF128" s="6">
        <v>0</v>
      </c>
      <c r="AH128" s="6">
        <v>0</v>
      </c>
      <c r="AI128" s="4"/>
      <c r="AJ128" s="6">
        <v>0</v>
      </c>
      <c r="AL128" s="6">
        <v>0</v>
      </c>
      <c r="AN128" s="6">
        <v>0</v>
      </c>
      <c r="AP128" s="6">
        <v>0</v>
      </c>
      <c r="AR128" s="6">
        <v>0</v>
      </c>
      <c r="AT128" s="6">
        <v>0</v>
      </c>
      <c r="AV128" s="6">
        <v>0</v>
      </c>
      <c r="AX128" s="6">
        <v>0</v>
      </c>
      <c r="AZ128" s="6">
        <v>0</v>
      </c>
      <c r="BB128" s="6">
        <v>0</v>
      </c>
      <c r="BD128" s="6">
        <v>0</v>
      </c>
      <c r="BF128" s="6">
        <v>0</v>
      </c>
      <c r="BH128" s="6">
        <v>0</v>
      </c>
      <c r="BJ128" s="6">
        <v>0</v>
      </c>
      <c r="BL128" s="6">
        <v>0</v>
      </c>
      <c r="BN128" s="6">
        <f>SUM(T128:BM128)</f>
        <v>28500</v>
      </c>
      <c r="BP128" s="6">
        <v>0</v>
      </c>
      <c r="BR128" s="6">
        <f>IF(+R128-BN128+BP128&gt;0,R128-BN128+BP128,0)</f>
        <v>0</v>
      </c>
      <c r="BT128" s="6">
        <f>+BN128+BR128</f>
        <v>28500</v>
      </c>
      <c r="BV128" s="6">
        <f>+R128-BT128</f>
        <v>0</v>
      </c>
      <c r="BW128" s="6"/>
    </row>
    <row r="129" spans="1:75">
      <c r="A129" s="17"/>
      <c r="B129" s="11" t="s">
        <v>208</v>
      </c>
      <c r="E129" s="4"/>
      <c r="G129" s="4"/>
      <c r="I129" s="4"/>
      <c r="J129" s="5" t="s">
        <v>0</v>
      </c>
      <c r="L129" s="138" t="s">
        <v>202</v>
      </c>
      <c r="M129" s="6"/>
      <c r="O129" s="6"/>
      <c r="Q129" s="6"/>
      <c r="R129" s="6">
        <v>0</v>
      </c>
      <c r="S129" s="6"/>
      <c r="T129" s="6">
        <v>0</v>
      </c>
      <c r="U129" s="6"/>
      <c r="V129" s="6">
        <v>0</v>
      </c>
      <c r="X129" s="6">
        <v>0</v>
      </c>
      <c r="Z129" s="6">
        <v>0</v>
      </c>
      <c r="AB129" s="6">
        <v>0</v>
      </c>
      <c r="AD129" s="6">
        <v>0</v>
      </c>
      <c r="AF129" s="6">
        <v>0</v>
      </c>
      <c r="AH129" s="6">
        <v>0</v>
      </c>
      <c r="AI129" s="4"/>
      <c r="AJ129" s="6">
        <v>0</v>
      </c>
      <c r="AL129" s="6">
        <v>0</v>
      </c>
      <c r="AN129" s="6">
        <v>0</v>
      </c>
      <c r="AP129" s="6">
        <v>0</v>
      </c>
      <c r="AR129" s="6">
        <v>0</v>
      </c>
      <c r="AT129" s="6">
        <v>0</v>
      </c>
      <c r="AV129" s="6">
        <v>0</v>
      </c>
      <c r="AX129" s="6">
        <v>0</v>
      </c>
      <c r="AZ129" s="6">
        <v>0</v>
      </c>
      <c r="BB129" s="6">
        <v>0</v>
      </c>
      <c r="BD129" s="6">
        <v>0</v>
      </c>
      <c r="BF129" s="6">
        <v>0</v>
      </c>
      <c r="BH129" s="6">
        <v>0</v>
      </c>
      <c r="BJ129" s="6">
        <v>0</v>
      </c>
      <c r="BL129" s="6">
        <v>0</v>
      </c>
      <c r="BN129" s="6">
        <f>SUM(T129:BM129)</f>
        <v>0</v>
      </c>
      <c r="BP129" s="6">
        <v>0</v>
      </c>
      <c r="BR129" s="6">
        <f>+R129-BN129+BP129</f>
        <v>0</v>
      </c>
      <c r="BT129" s="6">
        <f>+BN129+BR129</f>
        <v>0</v>
      </c>
      <c r="BV129" s="6">
        <f>+R129-BT129</f>
        <v>0</v>
      </c>
      <c r="BW129" s="6"/>
    </row>
    <row r="130" spans="1:75">
      <c r="A130" s="17"/>
      <c r="B130" s="11" t="s">
        <v>209</v>
      </c>
      <c r="E130" s="4"/>
      <c r="G130" s="4"/>
      <c r="I130" s="4"/>
      <c r="J130" s="5" t="s">
        <v>0</v>
      </c>
      <c r="L130" s="138" t="s">
        <v>202</v>
      </c>
      <c r="M130" s="6"/>
      <c r="O130" s="6"/>
      <c r="Q130" s="6"/>
      <c r="R130" s="6">
        <f>2280000-28500</f>
        <v>2251500</v>
      </c>
      <c r="S130" s="6"/>
      <c r="T130" s="6">
        <v>0</v>
      </c>
      <c r="U130" s="6"/>
      <c r="V130" s="6">
        <v>0</v>
      </c>
      <c r="X130" s="6">
        <v>0</v>
      </c>
      <c r="Z130" s="6">
        <v>0</v>
      </c>
      <c r="AB130" s="6">
        <v>1446361</v>
      </c>
      <c r="AD130" s="6">
        <v>0</v>
      </c>
      <c r="AF130" s="6">
        <v>0</v>
      </c>
      <c r="AH130" s="6">
        <v>821965.14</v>
      </c>
      <c r="AI130" s="4"/>
      <c r="AJ130" s="6">
        <v>0</v>
      </c>
      <c r="AL130" s="6">
        <v>0</v>
      </c>
      <c r="AN130" s="6">
        <v>1000</v>
      </c>
      <c r="AP130" s="6">
        <v>7992</v>
      </c>
      <c r="AR130" s="6">
        <v>0</v>
      </c>
      <c r="AT130" s="6">
        <v>180000</v>
      </c>
      <c r="AV130" s="6">
        <f>3400-16567.86</f>
        <v>-13167.86</v>
      </c>
      <c r="AX130" s="6">
        <v>0</v>
      </c>
      <c r="AZ130" s="6">
        <v>0</v>
      </c>
      <c r="BB130" s="6">
        <v>1662</v>
      </c>
      <c r="BD130" s="6">
        <v>0</v>
      </c>
      <c r="BF130" s="6">
        <v>0</v>
      </c>
      <c r="BH130" s="6">
        <v>350</v>
      </c>
      <c r="BJ130" s="6">
        <v>0</v>
      </c>
      <c r="BL130" s="6">
        <v>0</v>
      </c>
      <c r="BN130" s="6">
        <f>SUM(T130:BM130)</f>
        <v>2446162.2800000003</v>
      </c>
      <c r="BP130" s="6">
        <v>25818</v>
      </c>
      <c r="BR130" s="6">
        <f>IF(+R130-BN130+BP130&gt;0,R130-BN130+BP130,0)</f>
        <v>0</v>
      </c>
      <c r="BT130" s="6">
        <f>+BN130+BR130</f>
        <v>2446162.2800000003</v>
      </c>
      <c r="BV130" s="6">
        <f>+R130-BT130</f>
        <v>-194662.28000000026</v>
      </c>
      <c r="BW130" s="6"/>
    </row>
    <row r="131" spans="1:75">
      <c r="A131" s="17"/>
      <c r="B131" s="11" t="s">
        <v>210</v>
      </c>
      <c r="E131" s="4"/>
      <c r="G131" s="4"/>
      <c r="I131" s="4"/>
      <c r="J131" s="5" t="s">
        <v>0</v>
      </c>
      <c r="L131" s="138" t="s">
        <v>202</v>
      </c>
      <c r="M131" s="6"/>
      <c r="O131" s="6"/>
      <c r="Q131" s="6"/>
      <c r="R131" s="6">
        <v>0</v>
      </c>
      <c r="S131" s="6"/>
      <c r="T131" s="6"/>
      <c r="U131" s="6"/>
      <c r="V131" s="6"/>
      <c r="X131" s="6"/>
      <c r="Z131" s="6"/>
      <c r="AB131" s="6"/>
      <c r="AD131" s="6"/>
      <c r="AI131" s="4"/>
      <c r="BJ131" s="6"/>
      <c r="BL131" s="6"/>
      <c r="BP131" s="6"/>
      <c r="BR131" s="6">
        <f>+R131-BN131+BP131</f>
        <v>0</v>
      </c>
      <c r="BT131" s="6">
        <f>+BN131+BR131</f>
        <v>0</v>
      </c>
      <c r="BV131" s="6">
        <f>+R131-BT131</f>
        <v>0</v>
      </c>
      <c r="BW131" s="6"/>
    </row>
    <row r="132" spans="1:75" s="21" customFormat="1">
      <c r="A132" s="58"/>
      <c r="B132" s="31" t="s">
        <v>182</v>
      </c>
      <c r="J132" s="8"/>
      <c r="L132" s="141"/>
      <c r="M132" s="9"/>
      <c r="N132" s="102">
        <f>SUM(N128:N131)</f>
        <v>0</v>
      </c>
      <c r="O132" s="9"/>
      <c r="P132" s="102">
        <f>SUM(P128:P131)</f>
        <v>0</v>
      </c>
      <c r="Q132" s="9"/>
      <c r="R132" s="102">
        <f>SUM(R128:R131)</f>
        <v>2280000</v>
      </c>
      <c r="S132" s="9"/>
      <c r="T132" s="102">
        <f>SUM(T128:T131)</f>
        <v>0</v>
      </c>
      <c r="U132" s="9"/>
      <c r="V132" s="102">
        <f>SUM(V128:V131)</f>
        <v>0</v>
      </c>
      <c r="W132" s="9"/>
      <c r="X132" s="102">
        <f>SUM(X128:X131)</f>
        <v>0</v>
      </c>
      <c r="Y132" s="9"/>
      <c r="Z132" s="102">
        <f>SUM(Z128:Z131)</f>
        <v>20000</v>
      </c>
      <c r="AA132" s="9"/>
      <c r="AB132" s="102">
        <f>SUM(AB128:AB131)</f>
        <v>1446361</v>
      </c>
      <c r="AC132" s="9"/>
      <c r="AD132" s="102">
        <f>SUM(AD128:AD131)</f>
        <v>8500</v>
      </c>
      <c r="AE132" s="9"/>
      <c r="AF132" s="102">
        <f>SUM(AF128:AF131)</f>
        <v>0</v>
      </c>
      <c r="AG132" s="9"/>
      <c r="AH132" s="102">
        <f>SUM(AH128:AH131)</f>
        <v>821965.14</v>
      </c>
      <c r="AI132" s="4"/>
      <c r="AJ132" s="102">
        <f>SUM(AJ128:AJ131)</f>
        <v>0</v>
      </c>
      <c r="AK132" s="4"/>
      <c r="AL132" s="102">
        <f>SUM(AL128:AL131)</f>
        <v>0</v>
      </c>
      <c r="AM132" s="4"/>
      <c r="AN132" s="102">
        <f>SUM(AN128:AN131)</f>
        <v>1000</v>
      </c>
      <c r="AO132" s="9"/>
      <c r="AP132" s="102">
        <f>SUM(AP128:AP131)</f>
        <v>7992</v>
      </c>
      <c r="AQ132" s="9"/>
      <c r="AR132" s="102">
        <f>SUM(AR128:AR131)</f>
        <v>0</v>
      </c>
      <c r="AS132" s="9"/>
      <c r="AT132" s="102">
        <f>SUM(AT128:AT131)</f>
        <v>180000</v>
      </c>
      <c r="AU132" s="10"/>
      <c r="AV132" s="102">
        <f>SUM(AV128:AV131)</f>
        <v>-13167.86</v>
      </c>
      <c r="AW132" s="10"/>
      <c r="AX132" s="102">
        <f>SUM(AX128:AX131)</f>
        <v>0</v>
      </c>
      <c r="AY132" s="10"/>
      <c r="AZ132" s="102">
        <f>SUM(AZ128:AZ131)</f>
        <v>0</v>
      </c>
      <c r="BA132" s="10"/>
      <c r="BB132" s="102">
        <f>SUM(BB128:BB131)</f>
        <v>1662</v>
      </c>
      <c r="BC132" s="10"/>
      <c r="BD132" s="102">
        <f>SUM(BD128:BD131)</f>
        <v>0</v>
      </c>
      <c r="BE132" s="4"/>
      <c r="BF132" s="102">
        <f>SUM(BF128:BF131)</f>
        <v>0</v>
      </c>
      <c r="BG132" s="4"/>
      <c r="BH132" s="102">
        <f>SUM(BH128:BH131)</f>
        <v>350</v>
      </c>
      <c r="BI132" s="4"/>
      <c r="BJ132" s="102">
        <f>SUM(BJ128:BJ131)</f>
        <v>0</v>
      </c>
      <c r="BK132" s="4"/>
      <c r="BL132" s="102">
        <f>SUM(BL128:BL131)</f>
        <v>0</v>
      </c>
      <c r="BM132" s="4"/>
      <c r="BN132" s="102">
        <f>SUM(BN128:BN131)</f>
        <v>2474662.2800000003</v>
      </c>
      <c r="BO132" s="4"/>
      <c r="BP132" s="102">
        <f>SUM(BP128:BP131)</f>
        <v>25818</v>
      </c>
      <c r="BQ132" s="4"/>
      <c r="BR132" s="102">
        <f>SUM(BR128:BR131)</f>
        <v>0</v>
      </c>
      <c r="BS132" s="9"/>
      <c r="BT132" s="102">
        <f>SUM(BT128:BT131)</f>
        <v>2474662.2800000003</v>
      </c>
      <c r="BU132" s="9"/>
      <c r="BV132" s="102">
        <f>SUM(BV128:BV131)</f>
        <v>-194662.28000000026</v>
      </c>
      <c r="BW132" s="9"/>
    </row>
    <row r="133" spans="1:75" s="21" customFormat="1">
      <c r="A133" s="58"/>
      <c r="B133" s="31"/>
      <c r="J133" s="8"/>
      <c r="L133" s="138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4"/>
      <c r="AJ133" s="9"/>
      <c r="AK133" s="4"/>
      <c r="AL133" s="9"/>
      <c r="AM133" s="4"/>
      <c r="AN133" s="9"/>
      <c r="AO133" s="9"/>
      <c r="AP133" s="9"/>
      <c r="AQ133" s="9"/>
      <c r="AR133" s="9"/>
      <c r="AS133" s="9"/>
      <c r="AT133" s="9"/>
      <c r="AU133" s="9"/>
      <c r="AV133" s="9"/>
      <c r="AW133" s="9"/>
      <c r="AX133" s="9"/>
      <c r="AY133" s="9"/>
      <c r="AZ133" s="9"/>
      <c r="BA133" s="9"/>
      <c r="BB133" s="9"/>
      <c r="BC133" s="9"/>
      <c r="BD133" s="9"/>
      <c r="BE133" s="4"/>
      <c r="BF133" s="9"/>
      <c r="BG133" s="4"/>
      <c r="BH133" s="9"/>
      <c r="BI133" s="4"/>
      <c r="BJ133" s="9"/>
      <c r="BK133" s="4"/>
      <c r="BL133" s="9"/>
      <c r="BM133" s="4"/>
      <c r="BN133" s="9"/>
      <c r="BO133" s="4"/>
      <c r="BP133" s="9"/>
      <c r="BQ133" s="4"/>
      <c r="BR133" s="9"/>
      <c r="BS133" s="9"/>
      <c r="BT133" s="9"/>
      <c r="BU133" s="9"/>
      <c r="BV133" s="9"/>
      <c r="BW133" s="9"/>
    </row>
    <row r="134" spans="1:75">
      <c r="A134" s="58" t="s">
        <v>28</v>
      </c>
      <c r="B134" s="11"/>
      <c r="E134" s="4"/>
      <c r="G134" s="4"/>
      <c r="I134" s="4"/>
      <c r="L134" s="138"/>
      <c r="M134" s="6"/>
      <c r="O134" s="6"/>
      <c r="Q134" s="6"/>
      <c r="S134" s="6"/>
      <c r="T134" s="6"/>
      <c r="U134" s="6"/>
      <c r="V134" s="6"/>
      <c r="X134" s="6"/>
      <c r="Z134" s="6"/>
      <c r="AB134" s="6"/>
      <c r="AD134" s="6"/>
      <c r="AI134" s="4"/>
      <c r="BJ134" s="6"/>
      <c r="BL134" s="6"/>
      <c r="BP134" s="6"/>
      <c r="BW134" s="6"/>
    </row>
    <row r="135" spans="1:75">
      <c r="A135" s="58"/>
      <c r="B135" s="11" t="s">
        <v>260</v>
      </c>
      <c r="E135" s="4"/>
      <c r="G135" s="4"/>
      <c r="I135" s="4"/>
      <c r="L135" s="138" t="s">
        <v>203</v>
      </c>
      <c r="M135" s="6"/>
      <c r="N135" s="6">
        <v>0</v>
      </c>
      <c r="O135" s="6"/>
      <c r="P135" s="6">
        <v>0</v>
      </c>
      <c r="Q135" s="6"/>
      <c r="S135" s="6"/>
      <c r="T135" s="6">
        <v>0</v>
      </c>
      <c r="U135" s="6"/>
      <c r="V135" s="6">
        <v>0</v>
      </c>
      <c r="X135" s="6">
        <v>0</v>
      </c>
      <c r="Z135" s="6">
        <v>0</v>
      </c>
      <c r="AB135" s="6">
        <v>0</v>
      </c>
      <c r="AD135" s="6"/>
      <c r="AF135" s="6">
        <v>0</v>
      </c>
      <c r="AH135" s="6">
        <v>0</v>
      </c>
      <c r="AI135" s="4"/>
      <c r="AJ135" s="6">
        <v>0</v>
      </c>
      <c r="AL135" s="6">
        <v>0</v>
      </c>
      <c r="AN135" s="6">
        <v>0</v>
      </c>
      <c r="AP135" s="6">
        <v>0</v>
      </c>
      <c r="AR135" s="6">
        <v>0</v>
      </c>
      <c r="AT135" s="6">
        <v>0</v>
      </c>
      <c r="AV135" s="6">
        <v>0</v>
      </c>
      <c r="AX135" s="6">
        <v>0</v>
      </c>
      <c r="AZ135" s="6">
        <v>0</v>
      </c>
      <c r="BB135" s="6">
        <v>0</v>
      </c>
      <c r="BD135" s="6">
        <v>0</v>
      </c>
      <c r="BF135" s="6">
        <v>0</v>
      </c>
      <c r="BH135" s="6">
        <v>0</v>
      </c>
      <c r="BJ135" s="6">
        <v>0</v>
      </c>
      <c r="BL135" s="6">
        <v>0</v>
      </c>
      <c r="BN135" s="6">
        <f>SUM(T135:BM135)</f>
        <v>0</v>
      </c>
      <c r="BP135" s="6">
        <v>0</v>
      </c>
      <c r="BR135" s="6">
        <f>IF(+R135-BN135+BP135&gt;0,R135-BN135+BP135,0)</f>
        <v>0</v>
      </c>
      <c r="BT135" s="6">
        <f>+BN135+BR135</f>
        <v>0</v>
      </c>
      <c r="BV135" s="6">
        <f>+R135-BT135</f>
        <v>0</v>
      </c>
      <c r="BW135" s="6"/>
    </row>
    <row r="136" spans="1:75">
      <c r="A136" s="100"/>
      <c r="B136" s="17" t="s">
        <v>261</v>
      </c>
      <c r="E136" s="4"/>
      <c r="G136" s="4"/>
      <c r="I136" s="4"/>
      <c r="L136" s="138" t="s">
        <v>203</v>
      </c>
      <c r="M136" s="6"/>
      <c r="N136" s="6">
        <v>0</v>
      </c>
      <c r="O136" s="6"/>
      <c r="P136" s="6">
        <v>0</v>
      </c>
      <c r="Q136" s="6"/>
      <c r="S136" s="6"/>
      <c r="T136" s="6">
        <v>0</v>
      </c>
      <c r="U136" s="6"/>
      <c r="V136" s="6">
        <v>0</v>
      </c>
      <c r="X136" s="6">
        <v>0</v>
      </c>
      <c r="Z136" s="6">
        <v>0</v>
      </c>
      <c r="AB136" s="6">
        <v>0</v>
      </c>
      <c r="AD136" s="6"/>
      <c r="AF136" s="6">
        <v>0</v>
      </c>
      <c r="AH136" s="6">
        <v>0</v>
      </c>
      <c r="AI136" s="4"/>
      <c r="AJ136" s="6">
        <v>0</v>
      </c>
      <c r="AL136" s="6">
        <v>0</v>
      </c>
      <c r="AN136" s="6">
        <v>0</v>
      </c>
      <c r="AP136" s="6">
        <v>0</v>
      </c>
      <c r="AR136" s="6">
        <v>0</v>
      </c>
      <c r="AT136" s="6">
        <v>0</v>
      </c>
      <c r="AV136" s="6">
        <v>0</v>
      </c>
      <c r="AX136" s="6">
        <v>0</v>
      </c>
      <c r="AZ136" s="6">
        <v>0</v>
      </c>
      <c r="BB136" s="6">
        <v>0</v>
      </c>
      <c r="BD136" s="6">
        <v>0</v>
      </c>
      <c r="BF136" s="6">
        <v>0</v>
      </c>
      <c r="BH136" s="6">
        <v>0</v>
      </c>
      <c r="BJ136" s="6">
        <v>0</v>
      </c>
      <c r="BL136" s="6">
        <v>0</v>
      </c>
      <c r="BN136" s="6">
        <f>SUM(T136:BM136)</f>
        <v>0</v>
      </c>
      <c r="BP136" s="6">
        <v>0</v>
      </c>
      <c r="BR136" s="6">
        <f>IF(+R136-BN136+BP136&gt;0,R136-BN136+BP136,0)</f>
        <v>0</v>
      </c>
      <c r="BT136" s="6">
        <f>+BN136+BR136</f>
        <v>0</v>
      </c>
      <c r="BV136" s="6">
        <f>+R136-BT136</f>
        <v>0</v>
      </c>
      <c r="BW136" s="6"/>
    </row>
    <row r="137" spans="1:75">
      <c r="A137" s="100"/>
      <c r="B137" s="17" t="s">
        <v>262</v>
      </c>
      <c r="E137" s="4"/>
      <c r="G137" s="4"/>
      <c r="I137" s="4"/>
      <c r="L137" s="138" t="s">
        <v>203</v>
      </c>
      <c r="M137" s="6"/>
      <c r="O137" s="6"/>
      <c r="P137" s="6">
        <v>0</v>
      </c>
      <c r="Q137" s="6"/>
      <c r="R137" s="6">
        <v>400000</v>
      </c>
      <c r="S137" s="6"/>
      <c r="T137" s="6">
        <v>0</v>
      </c>
      <c r="U137" s="6"/>
      <c r="V137" s="6">
        <v>0</v>
      </c>
      <c r="X137" s="6">
        <v>0</v>
      </c>
      <c r="Z137" s="6">
        <v>8000</v>
      </c>
      <c r="AB137" s="6">
        <v>24712</v>
      </c>
      <c r="AD137" s="6">
        <v>71081</v>
      </c>
      <c r="AF137" s="6">
        <f>11932.33+162+1167.32</f>
        <v>13261.65</v>
      </c>
      <c r="AH137" s="6">
        <f>22563.83+17013.6</f>
        <v>39577.43</v>
      </c>
      <c r="AI137" s="4"/>
      <c r="AJ137" s="6">
        <f>2460+6571.33+2789.89</f>
        <v>11821.22</v>
      </c>
      <c r="AL137" s="6">
        <v>11746.18</v>
      </c>
      <c r="AN137" s="6">
        <v>19877.66</v>
      </c>
      <c r="AP137" s="6">
        <f>12427.46+17404.94</f>
        <v>29832.399999999998</v>
      </c>
      <c r="AR137" s="6">
        <v>39859.51</v>
      </c>
      <c r="AT137" s="6">
        <v>5434</v>
      </c>
      <c r="AV137" s="6">
        <v>2588.4499999999998</v>
      </c>
      <c r="AX137" s="6">
        <v>0</v>
      </c>
      <c r="AZ137" s="6">
        <v>3856</v>
      </c>
      <c r="BB137" s="6">
        <f>-1595</f>
        <v>-1595</v>
      </c>
      <c r="BD137" s="6">
        <v>9124.8799999999992</v>
      </c>
      <c r="BF137" s="6">
        <v>2377</v>
      </c>
      <c r="BH137" s="6">
        <f>123790+1823.51</f>
        <v>125613.51</v>
      </c>
      <c r="BJ137" s="6"/>
      <c r="BL137" s="6"/>
      <c r="BN137" s="22">
        <f>SUM(T137:BM137)</f>
        <v>417167.89</v>
      </c>
      <c r="BP137" s="6">
        <v>0</v>
      </c>
      <c r="BR137" s="6">
        <f>IF(+R137-BN137+BP137&gt;0,R137-BN137+BP137,0)</f>
        <v>0</v>
      </c>
      <c r="BT137" s="6">
        <f>+BN137+BR137</f>
        <v>417167.89</v>
      </c>
      <c r="BV137" s="6">
        <f>+R137-BT137</f>
        <v>-17167.890000000014</v>
      </c>
      <c r="BW137" s="6"/>
    </row>
    <row r="138" spans="1:75">
      <c r="A138" s="100"/>
      <c r="B138" s="17" t="s">
        <v>435</v>
      </c>
      <c r="E138" s="4"/>
      <c r="G138" s="4"/>
      <c r="I138" s="4"/>
      <c r="L138" s="138"/>
      <c r="M138" s="6"/>
      <c r="O138" s="6"/>
      <c r="Q138" s="6"/>
      <c r="S138" s="6"/>
      <c r="T138" s="6"/>
      <c r="U138" s="6"/>
      <c r="V138" s="6"/>
      <c r="X138" s="6"/>
      <c r="Z138" s="6"/>
      <c r="AB138" s="6"/>
      <c r="AD138" s="6"/>
      <c r="AI138" s="4"/>
      <c r="BJ138" s="6">
        <f>8057+4672+7631</f>
        <v>20360</v>
      </c>
      <c r="BL138" s="6">
        <v>5572</v>
      </c>
      <c r="BN138" s="22">
        <f>SUM(T138:BM138)</f>
        <v>25932</v>
      </c>
      <c r="BP138" s="6">
        <v>500000</v>
      </c>
      <c r="BR138" s="6">
        <f>IF(+R138-BN138+BP138&gt;0,R138-BN138+BP138,0)</f>
        <v>474068</v>
      </c>
      <c r="BT138" s="9">
        <f>+BN138+BR138</f>
        <v>500000</v>
      </c>
      <c r="BV138" s="6">
        <f>+R138-BT138</f>
        <v>-500000</v>
      </c>
      <c r="BW138" s="6"/>
    </row>
    <row r="139" spans="1:75">
      <c r="A139" s="100"/>
      <c r="B139" s="17"/>
      <c r="E139" s="4"/>
      <c r="G139" s="4"/>
      <c r="I139" s="4"/>
      <c r="L139" s="138"/>
      <c r="M139" s="6"/>
      <c r="O139" s="6"/>
      <c r="Q139" s="6"/>
      <c r="S139" s="6"/>
      <c r="T139" s="6"/>
      <c r="U139" s="6"/>
      <c r="V139" s="6"/>
      <c r="X139" s="6"/>
      <c r="Z139" s="6"/>
      <c r="AB139" s="6"/>
      <c r="AD139" s="6"/>
      <c r="AI139" s="4"/>
      <c r="BJ139" s="6"/>
      <c r="BL139" s="6"/>
      <c r="BP139" s="6"/>
      <c r="BR139" s="6">
        <f>IF(+R139-BN139+BP139&gt;0,R139-BN139+BP139,0)</f>
        <v>0</v>
      </c>
      <c r="BW139" s="6"/>
    </row>
    <row r="140" spans="1:75" s="21" customFormat="1">
      <c r="A140" s="283"/>
      <c r="B140" s="58" t="s">
        <v>183</v>
      </c>
      <c r="J140" s="8"/>
      <c r="L140" s="141"/>
      <c r="M140" s="9"/>
      <c r="N140" s="102">
        <f>SUM(N135:N139)</f>
        <v>0</v>
      </c>
      <c r="O140" s="9"/>
      <c r="P140" s="102">
        <f>SUM(P135:P139)</f>
        <v>0</v>
      </c>
      <c r="Q140" s="9"/>
      <c r="R140" s="102">
        <f>SUM(R135:R139)</f>
        <v>400000</v>
      </c>
      <c r="S140" s="9"/>
      <c r="T140" s="102">
        <f>SUM(T135:T139)</f>
        <v>0</v>
      </c>
      <c r="U140" s="9"/>
      <c r="V140" s="102">
        <f>SUM(V135:V139)</f>
        <v>0</v>
      </c>
      <c r="W140" s="9"/>
      <c r="X140" s="102">
        <f>SUM(X135:X139)</f>
        <v>0</v>
      </c>
      <c r="Y140" s="9"/>
      <c r="Z140" s="102">
        <f>SUM(Z135:Z139)</f>
        <v>8000</v>
      </c>
      <c r="AA140" s="9"/>
      <c r="AB140" s="102">
        <f>SUM(AB135:AB139)</f>
        <v>24712</v>
      </c>
      <c r="AC140" s="9"/>
      <c r="AD140" s="102">
        <f>SUM(AD135:AD139)</f>
        <v>71081</v>
      </c>
      <c r="AE140" s="9"/>
      <c r="AF140" s="102">
        <f>SUM(AF135:AF139)</f>
        <v>13261.65</v>
      </c>
      <c r="AG140" s="9"/>
      <c r="AH140" s="102">
        <f>SUM(AH135:AH139)</f>
        <v>39577.43</v>
      </c>
      <c r="AI140" s="4"/>
      <c r="AJ140" s="102">
        <f>SUM(AJ135:AJ139)</f>
        <v>11821.22</v>
      </c>
      <c r="AK140" s="4"/>
      <c r="AL140" s="102">
        <f>SUM(AL135:AL139)</f>
        <v>11746.18</v>
      </c>
      <c r="AM140" s="4"/>
      <c r="AN140" s="102">
        <f>SUM(AN135:AN139)</f>
        <v>19877.66</v>
      </c>
      <c r="AO140" s="9"/>
      <c r="AP140" s="102">
        <f>SUM(AP135:AP139)</f>
        <v>29832.399999999998</v>
      </c>
      <c r="AQ140" s="9"/>
      <c r="AR140" s="102">
        <f>SUM(AR135:AR139)</f>
        <v>39859.51</v>
      </c>
      <c r="AS140" s="9"/>
      <c r="AT140" s="102">
        <f>SUM(AT135:AT139)</f>
        <v>5434</v>
      </c>
      <c r="AU140" s="10"/>
      <c r="AV140" s="102">
        <f>SUM(AV135:AV139)</f>
        <v>2588.4499999999998</v>
      </c>
      <c r="AW140" s="10"/>
      <c r="AX140" s="102">
        <f>SUM(AX135:AX139)</f>
        <v>0</v>
      </c>
      <c r="AY140" s="10"/>
      <c r="AZ140" s="102">
        <f>SUM(AZ135:AZ139)</f>
        <v>3856</v>
      </c>
      <c r="BA140" s="10"/>
      <c r="BB140" s="102">
        <f>SUM(BB135:BB139)</f>
        <v>-1595</v>
      </c>
      <c r="BC140" s="10"/>
      <c r="BD140" s="102">
        <f>SUM(BD135:BD139)</f>
        <v>9124.8799999999992</v>
      </c>
      <c r="BE140" s="4"/>
      <c r="BF140" s="102">
        <f>SUM(BF135:BF139)</f>
        <v>2377</v>
      </c>
      <c r="BG140" s="4"/>
      <c r="BH140" s="102">
        <f>SUM(BH135:BH139)</f>
        <v>125613.51</v>
      </c>
      <c r="BI140" s="4"/>
      <c r="BJ140" s="102">
        <f>SUM(BJ135:BJ139)</f>
        <v>20360</v>
      </c>
      <c r="BK140" s="4"/>
      <c r="BL140" s="102">
        <f>SUM(BL135:BL139)</f>
        <v>5572</v>
      </c>
      <c r="BM140" s="4"/>
      <c r="BN140" s="102">
        <f>SUM(BN135:BN139)</f>
        <v>443099.89</v>
      </c>
      <c r="BO140" s="4"/>
      <c r="BP140" s="102">
        <f>SUM(BP135:BP139)</f>
        <v>500000</v>
      </c>
      <c r="BQ140" s="4"/>
      <c r="BR140" s="102">
        <f>SUM(BR135:BR139)</f>
        <v>474068</v>
      </c>
      <c r="BS140" s="9"/>
      <c r="BT140" s="102">
        <f>SUM(BT135:BT139)</f>
        <v>917167.89</v>
      </c>
      <c r="BU140" s="9"/>
      <c r="BV140" s="102">
        <f>SUM(BV135:BV139)</f>
        <v>-517167.89</v>
      </c>
      <c r="BW140" s="9"/>
    </row>
    <row r="141" spans="1:75" s="21" customFormat="1">
      <c r="A141" s="283"/>
      <c r="B141" s="58"/>
      <c r="J141" s="8"/>
      <c r="L141" s="141"/>
      <c r="M141" s="9"/>
      <c r="N141" s="10"/>
      <c r="O141" s="9"/>
      <c r="P141" s="10"/>
      <c r="Q141" s="9"/>
      <c r="R141" s="10"/>
      <c r="S141" s="9"/>
      <c r="T141" s="10"/>
      <c r="U141" s="9"/>
      <c r="V141" s="10"/>
      <c r="W141" s="9"/>
      <c r="X141" s="10"/>
      <c r="Y141" s="9"/>
      <c r="Z141" s="10"/>
      <c r="AA141" s="9"/>
      <c r="AB141" s="10"/>
      <c r="AC141" s="9"/>
      <c r="AD141" s="10"/>
      <c r="AE141" s="9"/>
      <c r="AF141" s="10"/>
      <c r="AG141" s="9"/>
      <c r="AH141" s="10"/>
      <c r="AI141" s="4"/>
      <c r="AJ141" s="10"/>
      <c r="AK141" s="4"/>
      <c r="AL141" s="10"/>
      <c r="AM141" s="4"/>
      <c r="AN141" s="10"/>
      <c r="AO141" s="9"/>
      <c r="AP141" s="10"/>
      <c r="AQ141" s="9"/>
      <c r="AR141" s="10"/>
      <c r="AS141" s="9"/>
      <c r="AT141" s="10"/>
      <c r="AU141" s="10"/>
      <c r="AV141" s="10"/>
      <c r="AW141" s="10"/>
      <c r="AX141" s="10"/>
      <c r="AY141" s="10"/>
      <c r="AZ141" s="10"/>
      <c r="BA141" s="10"/>
      <c r="BB141" s="10"/>
      <c r="BC141" s="10"/>
      <c r="BD141" s="10"/>
      <c r="BE141" s="4"/>
      <c r="BF141" s="10"/>
      <c r="BG141" s="4"/>
      <c r="BH141" s="10"/>
      <c r="BI141" s="4"/>
      <c r="BJ141" s="10"/>
      <c r="BK141" s="4"/>
      <c r="BL141" s="10"/>
      <c r="BM141" s="4"/>
      <c r="BN141" s="10"/>
      <c r="BO141" s="4"/>
      <c r="BP141" s="10"/>
      <c r="BQ141" s="4"/>
      <c r="BR141" s="10"/>
      <c r="BS141" s="9"/>
      <c r="BT141" s="10"/>
      <c r="BU141" s="9"/>
      <c r="BV141" s="10"/>
      <c r="BW141" s="9"/>
    </row>
    <row r="142" spans="1:75" s="21" customFormat="1">
      <c r="A142" s="58" t="s">
        <v>373</v>
      </c>
      <c r="B142" s="31"/>
      <c r="J142" s="8" t="s">
        <v>0</v>
      </c>
      <c r="L142" s="138" t="s">
        <v>202</v>
      </c>
      <c r="M142" s="9"/>
      <c r="N142" s="9">
        <v>0</v>
      </c>
      <c r="O142" s="9"/>
      <c r="P142" s="9">
        <v>0</v>
      </c>
      <c r="Q142" s="9"/>
      <c r="R142" s="9">
        <v>1000000</v>
      </c>
      <c r="S142" s="9"/>
      <c r="T142" s="9">
        <v>0</v>
      </c>
      <c r="U142" s="9"/>
      <c r="V142" s="9">
        <v>0</v>
      </c>
      <c r="W142" s="9"/>
      <c r="X142" s="9">
        <v>0</v>
      </c>
      <c r="Y142" s="9"/>
      <c r="Z142" s="9">
        <v>0</v>
      </c>
      <c r="AA142" s="9"/>
      <c r="AB142" s="9">
        <v>0</v>
      </c>
      <c r="AC142" s="9"/>
      <c r="AD142" s="9">
        <v>0</v>
      </c>
      <c r="AE142" s="9"/>
      <c r="AF142" s="9">
        <v>0</v>
      </c>
      <c r="AG142" s="9"/>
      <c r="AH142" s="9">
        <v>0</v>
      </c>
      <c r="AI142" s="4"/>
      <c r="AJ142" s="9">
        <v>0</v>
      </c>
      <c r="AK142" s="4"/>
      <c r="AL142" s="9">
        <v>0</v>
      </c>
      <c r="AM142" s="4"/>
      <c r="AN142" s="9">
        <v>50050</v>
      </c>
      <c r="AO142" s="9"/>
      <c r="AP142" s="9">
        <f>2348.07+158267.53</f>
        <v>160615.6</v>
      </c>
      <c r="AQ142" s="9"/>
      <c r="AR142" s="9">
        <v>8227.76</v>
      </c>
      <c r="AS142" s="9"/>
      <c r="AT142" s="9">
        <v>115500</v>
      </c>
      <c r="AU142" s="9"/>
      <c r="AV142" s="9">
        <v>445269.08</v>
      </c>
      <c r="AW142" s="9"/>
      <c r="AX142" s="9">
        <v>0</v>
      </c>
      <c r="AY142" s="9"/>
      <c r="AZ142" s="9">
        <v>0</v>
      </c>
      <c r="BA142" s="9"/>
      <c r="BB142" s="9"/>
      <c r="BC142" s="9"/>
      <c r="BD142" s="9">
        <v>6343</v>
      </c>
      <c r="BE142" s="4"/>
      <c r="BF142" s="9">
        <v>0</v>
      </c>
      <c r="BG142" s="4"/>
      <c r="BH142" s="9">
        <v>8574.66</v>
      </c>
      <c r="BI142" s="4"/>
      <c r="BJ142" s="9">
        <v>0</v>
      </c>
      <c r="BK142" s="4"/>
      <c r="BL142" s="9">
        <v>0</v>
      </c>
      <c r="BM142" s="4"/>
      <c r="BN142" s="9">
        <f>SUM(T142:BM142)</f>
        <v>794580.1</v>
      </c>
      <c r="BO142" s="4"/>
      <c r="BP142" s="9">
        <v>200000</v>
      </c>
      <c r="BQ142" s="4"/>
      <c r="BR142" s="6">
        <f>IF(+R142-BN142+BP142&gt;0,R142-BN142+BP142,0)</f>
        <v>405419.9</v>
      </c>
      <c r="BS142" s="9"/>
      <c r="BT142" s="9">
        <f>+BN142+BR142</f>
        <v>1200000</v>
      </c>
      <c r="BU142" s="9"/>
      <c r="BV142" s="9">
        <f>+R142-BT142</f>
        <v>-200000</v>
      </c>
      <c r="BW142" s="9"/>
    </row>
    <row r="143" spans="1:75" s="21" customFormat="1">
      <c r="A143" s="283"/>
      <c r="B143" s="58"/>
      <c r="J143" s="8"/>
      <c r="L143" s="141"/>
      <c r="M143" s="9"/>
      <c r="N143" s="10"/>
      <c r="O143" s="9"/>
      <c r="P143" s="10"/>
      <c r="Q143" s="9"/>
      <c r="R143" s="10"/>
      <c r="S143" s="9"/>
      <c r="T143" s="10"/>
      <c r="U143" s="9"/>
      <c r="V143" s="10"/>
      <c r="W143" s="9"/>
      <c r="X143" s="10"/>
      <c r="Y143" s="9"/>
      <c r="Z143" s="10"/>
      <c r="AA143" s="9"/>
      <c r="AB143" s="10"/>
      <c r="AC143" s="9"/>
      <c r="AD143" s="10"/>
      <c r="AE143" s="9"/>
      <c r="AF143" s="10"/>
      <c r="AG143" s="9"/>
      <c r="AH143" s="10"/>
      <c r="AI143" s="4"/>
      <c r="AJ143" s="10"/>
      <c r="AK143" s="4"/>
      <c r="AL143" s="10"/>
      <c r="AM143" s="4"/>
      <c r="AN143" s="10"/>
      <c r="AO143" s="9"/>
      <c r="AP143" s="10"/>
      <c r="AQ143" s="9"/>
      <c r="AR143" s="10"/>
      <c r="AS143" s="9"/>
      <c r="AT143" s="10"/>
      <c r="AU143" s="10"/>
      <c r="AV143" s="10"/>
      <c r="AW143" s="10"/>
      <c r="AX143" s="10"/>
      <c r="AY143" s="10"/>
      <c r="AZ143" s="10"/>
      <c r="BA143" s="10"/>
      <c r="BB143" s="10"/>
      <c r="BC143" s="10"/>
      <c r="BD143" s="10"/>
      <c r="BE143" s="4"/>
      <c r="BF143" s="10"/>
      <c r="BG143" s="4"/>
      <c r="BH143" s="10"/>
      <c r="BI143" s="4"/>
      <c r="BJ143" s="10"/>
      <c r="BK143" s="4"/>
      <c r="BL143" s="10"/>
      <c r="BM143" s="4"/>
      <c r="BN143" s="10"/>
      <c r="BO143" s="4"/>
      <c r="BP143" s="10"/>
      <c r="BQ143" s="4"/>
      <c r="BR143" s="10"/>
      <c r="BS143" s="9"/>
      <c r="BT143" s="10"/>
      <c r="BU143" s="9"/>
      <c r="BV143" s="10"/>
      <c r="BW143" s="9"/>
    </row>
    <row r="144" spans="1:75" s="21" customFormat="1">
      <c r="A144" s="58" t="s">
        <v>29</v>
      </c>
      <c r="B144" s="31"/>
      <c r="J144" s="8" t="s">
        <v>0</v>
      </c>
      <c r="L144" s="138" t="s">
        <v>202</v>
      </c>
      <c r="M144" s="9"/>
      <c r="N144" s="9">
        <v>0</v>
      </c>
      <c r="O144" s="9"/>
      <c r="P144" s="9">
        <v>0</v>
      </c>
      <c r="Q144" s="9"/>
      <c r="R144" s="9">
        <v>3500000</v>
      </c>
      <c r="S144" s="9"/>
      <c r="T144" s="9">
        <v>0</v>
      </c>
      <c r="U144" s="9"/>
      <c r="V144" s="9">
        <v>0</v>
      </c>
      <c r="W144" s="9"/>
      <c r="X144" s="9">
        <v>0</v>
      </c>
      <c r="Y144" s="9"/>
      <c r="Z144" s="9">
        <v>0</v>
      </c>
      <c r="AA144" s="9"/>
      <c r="AB144" s="9">
        <v>0</v>
      </c>
      <c r="AC144" s="9"/>
      <c r="AD144" s="9">
        <v>0</v>
      </c>
      <c r="AE144" s="9"/>
      <c r="AF144" s="9">
        <v>0</v>
      </c>
      <c r="AG144" s="9"/>
      <c r="AH144" s="9">
        <v>0</v>
      </c>
      <c r="AI144" s="4"/>
      <c r="AJ144" s="9">
        <v>0</v>
      </c>
      <c r="AK144" s="4"/>
      <c r="AL144" s="9">
        <v>0</v>
      </c>
      <c r="AM144" s="4"/>
      <c r="AN144" s="9">
        <v>0</v>
      </c>
      <c r="AO144" s="9"/>
      <c r="AP144" s="9">
        <v>0</v>
      </c>
      <c r="AQ144" s="9"/>
      <c r="AR144" s="9">
        <v>0</v>
      </c>
      <c r="AS144" s="9"/>
      <c r="AT144" s="9">
        <v>0</v>
      </c>
      <c r="AU144" s="9"/>
      <c r="AV144" s="9">
        <v>0</v>
      </c>
      <c r="AW144" s="9"/>
      <c r="AX144" s="9">
        <v>0</v>
      </c>
      <c r="AY144" s="9"/>
      <c r="AZ144" s="9">
        <v>0</v>
      </c>
      <c r="BA144" s="9"/>
      <c r="BB144" s="9">
        <v>4210113.22</v>
      </c>
      <c r="BC144" s="9"/>
      <c r="BD144" s="9">
        <v>0</v>
      </c>
      <c r="BE144" s="4"/>
      <c r="BF144" s="9">
        <v>0</v>
      </c>
      <c r="BG144" s="4"/>
      <c r="BH144" s="9">
        <v>0</v>
      </c>
      <c r="BI144" s="4"/>
      <c r="BJ144" s="9">
        <v>4364175</v>
      </c>
      <c r="BK144" s="4"/>
      <c r="BL144" s="9">
        <v>127353</v>
      </c>
      <c r="BM144" s="4"/>
      <c r="BN144" s="9">
        <f>SUM(T144:BM144)</f>
        <v>8701641.2199999988</v>
      </c>
      <c r="BO144" s="4"/>
      <c r="BP144" s="9">
        <f>4500000+2900000</f>
        <v>7400000</v>
      </c>
      <c r="BQ144" s="4"/>
      <c r="BR144" s="6">
        <f>IF(+R144-BN144+BP144&gt;0,R144-BN144+BP144,0)</f>
        <v>2198358.7800000012</v>
      </c>
      <c r="BS144" s="9"/>
      <c r="BT144" s="9">
        <f>+BN144+BR144</f>
        <v>10900000</v>
      </c>
      <c r="BU144" s="9"/>
      <c r="BV144" s="9">
        <f>+R144-BT144</f>
        <v>-7400000</v>
      </c>
      <c r="BW144" s="9"/>
    </row>
    <row r="145" spans="1:75" s="21" customFormat="1">
      <c r="A145" s="283"/>
      <c r="B145" s="58"/>
      <c r="J145" s="8"/>
      <c r="L145" s="141"/>
      <c r="M145" s="9"/>
      <c r="N145" s="10"/>
      <c r="O145" s="9"/>
      <c r="P145" s="10"/>
      <c r="Q145" s="9"/>
      <c r="R145" s="10"/>
      <c r="S145" s="9"/>
      <c r="T145" s="10"/>
      <c r="U145" s="9"/>
      <c r="V145" s="10"/>
      <c r="W145" s="9"/>
      <c r="X145" s="10"/>
      <c r="Y145" s="9"/>
      <c r="Z145" s="10"/>
      <c r="AA145" s="9"/>
      <c r="AB145" s="10"/>
      <c r="AC145" s="9"/>
      <c r="AD145" s="10"/>
      <c r="AE145" s="9"/>
      <c r="AF145" s="10"/>
      <c r="AG145" s="9"/>
      <c r="AH145" s="10"/>
      <c r="AI145" s="4"/>
      <c r="AJ145" s="10"/>
      <c r="AK145" s="4"/>
      <c r="AL145" s="10"/>
      <c r="AM145" s="4"/>
      <c r="AN145" s="10"/>
      <c r="AO145" s="9"/>
      <c r="AP145" s="10"/>
      <c r="AQ145" s="9"/>
      <c r="AR145" s="10"/>
      <c r="AS145" s="9"/>
      <c r="AT145" s="10"/>
      <c r="AU145" s="10"/>
      <c r="AV145" s="10"/>
      <c r="AW145" s="10"/>
      <c r="AX145" s="10"/>
      <c r="AY145" s="10"/>
      <c r="AZ145" s="10"/>
      <c r="BA145" s="10"/>
      <c r="BB145" s="10"/>
      <c r="BC145" s="10"/>
      <c r="BD145" s="10"/>
      <c r="BE145" s="4"/>
      <c r="BF145" s="10"/>
      <c r="BG145" s="4"/>
      <c r="BH145" s="10"/>
      <c r="BI145" s="4"/>
      <c r="BJ145" s="10"/>
      <c r="BK145" s="4"/>
      <c r="BL145" s="10"/>
      <c r="BM145" s="4"/>
      <c r="BN145" s="10"/>
      <c r="BO145" s="4"/>
      <c r="BP145" s="10"/>
      <c r="BQ145" s="4"/>
      <c r="BR145" s="10"/>
      <c r="BS145" s="9"/>
      <c r="BT145" s="10"/>
      <c r="BU145" s="9"/>
      <c r="BV145" s="10"/>
      <c r="BW145" s="9"/>
    </row>
    <row r="146" spans="1:75" s="15" customFormat="1">
      <c r="A146" s="32" t="s">
        <v>178</v>
      </c>
      <c r="B146" s="60"/>
      <c r="C146" s="4"/>
      <c r="D146" s="4"/>
      <c r="E146" s="4"/>
      <c r="F146" s="4"/>
      <c r="G146" s="4"/>
      <c r="H146" s="4"/>
      <c r="I146" s="4"/>
      <c r="J146" s="5"/>
      <c r="K146" s="4"/>
      <c r="L146" s="138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4"/>
      <c r="AJ146" s="22"/>
      <c r="AK146" s="4"/>
      <c r="AL146" s="22"/>
      <c r="AM146" s="4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4"/>
      <c r="BF146" s="22"/>
      <c r="BG146" s="4"/>
      <c r="BH146" s="22"/>
      <c r="BI146" s="4"/>
      <c r="BJ146" s="22"/>
      <c r="BK146" s="4"/>
      <c r="BL146" s="22"/>
      <c r="BM146" s="4"/>
      <c r="BN146" s="22"/>
      <c r="BO146" s="4"/>
      <c r="BP146" s="22"/>
      <c r="BQ146" s="4"/>
      <c r="BR146" s="22"/>
      <c r="BS146" s="22"/>
      <c r="BT146" s="22"/>
      <c r="BU146" s="22"/>
      <c r="BV146" s="22"/>
      <c r="BW146" s="22"/>
    </row>
    <row r="147" spans="1:75" s="15" customFormat="1" hidden="1">
      <c r="A147" s="109"/>
      <c r="B147" s="60" t="s">
        <v>179</v>
      </c>
      <c r="C147" s="4"/>
      <c r="D147" s="4"/>
      <c r="E147" s="4"/>
      <c r="F147" s="4"/>
      <c r="G147" s="4"/>
      <c r="H147" s="4"/>
      <c r="I147" s="4"/>
      <c r="J147" s="5"/>
      <c r="K147" s="4"/>
      <c r="L147" s="138" t="s">
        <v>202</v>
      </c>
      <c r="M147" s="22"/>
      <c r="N147" s="22">
        <v>0</v>
      </c>
      <c r="O147" s="22"/>
      <c r="P147" s="22">
        <v>0</v>
      </c>
      <c r="Q147" s="22"/>
      <c r="R147" s="6">
        <f>+N147+P147</f>
        <v>0</v>
      </c>
      <c r="S147" s="22"/>
      <c r="T147" s="22">
        <v>0</v>
      </c>
      <c r="U147" s="22"/>
      <c r="V147" s="22">
        <v>0</v>
      </c>
      <c r="W147" s="22"/>
      <c r="X147" s="22">
        <v>0</v>
      </c>
      <c r="Y147" s="22"/>
      <c r="Z147" s="22">
        <v>0</v>
      </c>
      <c r="AA147" s="22"/>
      <c r="AB147" s="22">
        <v>0</v>
      </c>
      <c r="AC147" s="22"/>
      <c r="AD147" s="22">
        <v>0</v>
      </c>
      <c r="AE147" s="22"/>
      <c r="AF147" s="22">
        <v>0</v>
      </c>
      <c r="AG147" s="22"/>
      <c r="AH147" s="22">
        <v>0</v>
      </c>
      <c r="AI147" s="4"/>
      <c r="AJ147" s="22">
        <v>0</v>
      </c>
      <c r="AK147" s="4"/>
      <c r="AL147" s="22">
        <v>0</v>
      </c>
      <c r="AM147" s="4"/>
      <c r="AN147" s="22">
        <v>0</v>
      </c>
      <c r="AO147" s="22"/>
      <c r="AP147" s="22">
        <v>0</v>
      </c>
      <c r="AQ147" s="22"/>
      <c r="AR147" s="22">
        <v>0</v>
      </c>
      <c r="AS147" s="22"/>
      <c r="AT147" s="22">
        <v>0</v>
      </c>
      <c r="AU147" s="22"/>
      <c r="AV147" s="22">
        <v>0</v>
      </c>
      <c r="AW147" s="22"/>
      <c r="AX147" s="22">
        <v>0</v>
      </c>
      <c r="AY147" s="22"/>
      <c r="AZ147" s="22">
        <v>0</v>
      </c>
      <c r="BA147" s="22"/>
      <c r="BB147" s="22">
        <v>0</v>
      </c>
      <c r="BC147" s="22"/>
      <c r="BD147" s="22">
        <v>0</v>
      </c>
      <c r="BE147" s="4"/>
      <c r="BF147" s="22">
        <v>0</v>
      </c>
      <c r="BG147" s="4"/>
      <c r="BH147" s="22">
        <v>0</v>
      </c>
      <c r="BI147" s="4"/>
      <c r="BJ147" s="22">
        <v>0</v>
      </c>
      <c r="BK147" s="4"/>
      <c r="BL147" s="22">
        <v>0</v>
      </c>
      <c r="BM147" s="4"/>
      <c r="BN147" s="22">
        <f>SUM(T147:BM147)</f>
        <v>0</v>
      </c>
      <c r="BO147" s="4"/>
      <c r="BP147" s="22">
        <v>0</v>
      </c>
      <c r="BQ147" s="4"/>
      <c r="BR147" s="22">
        <f>+R147-BN147+BP147</f>
        <v>0</v>
      </c>
      <c r="BS147" s="22"/>
      <c r="BT147" s="6">
        <f>+BN147+BR147</f>
        <v>0</v>
      </c>
      <c r="BU147" s="22"/>
      <c r="BV147" s="6">
        <f>+R147-BT147</f>
        <v>0</v>
      </c>
      <c r="BW147" s="22"/>
    </row>
    <row r="148" spans="1:75" s="15" customFormat="1">
      <c r="A148" s="109"/>
      <c r="B148" s="60" t="s">
        <v>180</v>
      </c>
      <c r="C148" s="4"/>
      <c r="D148" s="4"/>
      <c r="E148" s="4"/>
      <c r="F148" s="4"/>
      <c r="G148" s="4"/>
      <c r="H148" s="4"/>
      <c r="I148" s="4"/>
      <c r="J148" s="5"/>
      <c r="K148" s="4"/>
      <c r="L148" s="138" t="s">
        <v>202</v>
      </c>
      <c r="M148" s="22"/>
      <c r="N148" s="22">
        <v>0</v>
      </c>
      <c r="O148" s="22"/>
      <c r="P148" s="22">
        <v>0</v>
      </c>
      <c r="Q148" s="22"/>
      <c r="R148" s="6">
        <v>1500000</v>
      </c>
      <c r="S148" s="22"/>
      <c r="T148" s="22">
        <v>0</v>
      </c>
      <c r="U148" s="22"/>
      <c r="V148" s="22">
        <v>0</v>
      </c>
      <c r="W148" s="22"/>
      <c r="X148" s="22">
        <v>0</v>
      </c>
      <c r="Y148" s="22"/>
      <c r="Z148" s="22">
        <v>0</v>
      </c>
      <c r="AA148" s="22"/>
      <c r="AB148" s="22">
        <v>0</v>
      </c>
      <c r="AC148" s="22"/>
      <c r="AD148" s="22">
        <v>0</v>
      </c>
      <c r="AE148" s="22"/>
      <c r="AF148" s="22">
        <v>0</v>
      </c>
      <c r="AG148" s="22"/>
      <c r="AH148" s="22">
        <v>0</v>
      </c>
      <c r="AI148" s="4"/>
      <c r="AJ148" s="22">
        <v>0</v>
      </c>
      <c r="AK148" s="4"/>
      <c r="AL148" s="22">
        <v>0</v>
      </c>
      <c r="AM148" s="4"/>
      <c r="AN148" s="22">
        <v>0</v>
      </c>
      <c r="AO148" s="22"/>
      <c r="AP148" s="22">
        <v>0</v>
      </c>
      <c r="AQ148" s="22"/>
      <c r="AR148" s="22">
        <v>0</v>
      </c>
      <c r="AS148" s="22"/>
      <c r="AT148" s="22">
        <v>0</v>
      </c>
      <c r="AU148" s="22"/>
      <c r="AV148" s="22">
        <v>0</v>
      </c>
      <c r="AW148" s="22"/>
      <c r="AX148" s="22">
        <v>0</v>
      </c>
      <c r="AY148" s="22"/>
      <c r="AZ148" s="22">
        <v>310380</v>
      </c>
      <c r="BA148" s="22"/>
      <c r="BB148" s="22">
        <v>1670726</v>
      </c>
      <c r="BC148" s="22"/>
      <c r="BD148" s="22">
        <v>-127637.5</v>
      </c>
      <c r="BE148" s="4"/>
      <c r="BF148" s="22">
        <v>0</v>
      </c>
      <c r="BG148" s="4"/>
      <c r="BH148" s="22">
        <v>0</v>
      </c>
      <c r="BI148" s="4"/>
      <c r="BJ148" s="22">
        <v>0</v>
      </c>
      <c r="BK148" s="4"/>
      <c r="BL148" s="22">
        <v>0</v>
      </c>
      <c r="BM148" s="4"/>
      <c r="BN148" s="22">
        <f>SUM(T148:BM148)</f>
        <v>1853468.5</v>
      </c>
      <c r="BO148" s="4"/>
      <c r="BP148" s="22">
        <v>0</v>
      </c>
      <c r="BQ148" s="4"/>
      <c r="BR148" s="6">
        <f>IF(+R148-BN148+BP148&gt;0,R148-BN148+BP148,0)</f>
        <v>0</v>
      </c>
      <c r="BS148" s="22"/>
      <c r="BT148" s="6">
        <f>+BN148+BR148</f>
        <v>1853468.5</v>
      </c>
      <c r="BU148" s="22"/>
      <c r="BV148" s="6">
        <f>+R148-BT148</f>
        <v>-353468.5</v>
      </c>
      <c r="BW148" s="22"/>
    </row>
    <row r="149" spans="1:75" s="15" customFormat="1" hidden="1">
      <c r="A149" s="109"/>
      <c r="B149" s="60" t="s">
        <v>121</v>
      </c>
      <c r="C149" s="4"/>
      <c r="D149" s="4"/>
      <c r="E149" s="4"/>
      <c r="F149" s="4"/>
      <c r="G149" s="4"/>
      <c r="H149" s="4"/>
      <c r="I149" s="4"/>
      <c r="J149" s="5"/>
      <c r="K149" s="4"/>
      <c r="L149" s="138" t="s">
        <v>202</v>
      </c>
      <c r="M149" s="22"/>
      <c r="N149" s="22">
        <v>0</v>
      </c>
      <c r="O149" s="22"/>
      <c r="P149" s="22">
        <v>0</v>
      </c>
      <c r="Q149" s="22"/>
      <c r="R149" s="6">
        <v>0</v>
      </c>
      <c r="S149" s="22"/>
      <c r="T149" s="22">
        <v>0</v>
      </c>
      <c r="U149" s="22"/>
      <c r="V149" s="22">
        <v>0</v>
      </c>
      <c r="W149" s="22"/>
      <c r="X149" s="22">
        <v>0</v>
      </c>
      <c r="Y149" s="22"/>
      <c r="Z149" s="22">
        <v>0</v>
      </c>
      <c r="AA149" s="22"/>
      <c r="AB149" s="22">
        <v>0</v>
      </c>
      <c r="AC149" s="22"/>
      <c r="AD149" s="22">
        <v>0</v>
      </c>
      <c r="AE149" s="22"/>
      <c r="AF149" s="22">
        <v>0</v>
      </c>
      <c r="AG149" s="22"/>
      <c r="AH149" s="22">
        <v>0</v>
      </c>
      <c r="AI149" s="4"/>
      <c r="AJ149" s="22">
        <v>0</v>
      </c>
      <c r="AK149" s="4"/>
      <c r="AL149" s="22">
        <v>0</v>
      </c>
      <c r="AM149" s="4"/>
      <c r="AN149" s="22">
        <v>0</v>
      </c>
      <c r="AO149" s="22"/>
      <c r="AP149" s="22">
        <v>0</v>
      </c>
      <c r="AQ149" s="22"/>
      <c r="AR149" s="22">
        <v>0</v>
      </c>
      <c r="AS149" s="22"/>
      <c r="AT149" s="22">
        <v>0</v>
      </c>
      <c r="AU149" s="22"/>
      <c r="AV149" s="22">
        <v>0</v>
      </c>
      <c r="AW149" s="22"/>
      <c r="AX149" s="22">
        <v>0</v>
      </c>
      <c r="AY149" s="22"/>
      <c r="AZ149" s="22">
        <v>0</v>
      </c>
      <c r="BA149" s="22"/>
      <c r="BB149" s="22">
        <v>0</v>
      </c>
      <c r="BC149" s="22"/>
      <c r="BD149" s="22">
        <v>0</v>
      </c>
      <c r="BE149" s="4"/>
      <c r="BF149" s="22">
        <v>0</v>
      </c>
      <c r="BG149" s="4"/>
      <c r="BH149" s="22">
        <v>0</v>
      </c>
      <c r="BI149" s="4"/>
      <c r="BJ149" s="22">
        <v>0</v>
      </c>
      <c r="BK149" s="4"/>
      <c r="BL149" s="22">
        <v>0</v>
      </c>
      <c r="BM149" s="4"/>
      <c r="BN149" s="22">
        <f>SUM(T149:BM149)</f>
        <v>0</v>
      </c>
      <c r="BO149" s="4"/>
      <c r="BP149" s="22">
        <v>0</v>
      </c>
      <c r="BQ149" s="4"/>
      <c r="BR149" s="22">
        <f>+R149-BN149+BP149</f>
        <v>0</v>
      </c>
      <c r="BS149" s="22"/>
      <c r="BT149" s="6">
        <f>+BN149+BR149</f>
        <v>0</v>
      </c>
      <c r="BU149" s="22"/>
      <c r="BV149" s="6">
        <f>+R149-BT149</f>
        <v>0</v>
      </c>
      <c r="BW149" s="22"/>
    </row>
    <row r="150" spans="1:75" s="104" customFormat="1">
      <c r="A150" s="32"/>
      <c r="B150" s="77" t="s">
        <v>181</v>
      </c>
      <c r="C150" s="21"/>
      <c r="D150" s="21"/>
      <c r="E150" s="21"/>
      <c r="F150" s="21"/>
      <c r="G150" s="21"/>
      <c r="H150" s="21"/>
      <c r="I150" s="21"/>
      <c r="J150" s="8"/>
      <c r="K150" s="21"/>
      <c r="L150" s="141"/>
      <c r="M150" s="16"/>
      <c r="N150" s="108">
        <f>SUM(N147:N149)</f>
        <v>0</v>
      </c>
      <c r="O150" s="16"/>
      <c r="P150" s="108">
        <f>SUM(P147:P149)</f>
        <v>0</v>
      </c>
      <c r="Q150" s="16"/>
      <c r="R150" s="108">
        <f>SUM(R147:R149)</f>
        <v>1500000</v>
      </c>
      <c r="S150" s="16"/>
      <c r="T150" s="108">
        <f>SUM(T147:T149)</f>
        <v>0</v>
      </c>
      <c r="U150" s="16"/>
      <c r="V150" s="108">
        <f>SUM(V147:V149)</f>
        <v>0</v>
      </c>
      <c r="W150" s="16"/>
      <c r="X150" s="108">
        <f>SUM(X147:X149)</f>
        <v>0</v>
      </c>
      <c r="Y150" s="16"/>
      <c r="Z150" s="108">
        <f>SUM(Z147:Z149)</f>
        <v>0</v>
      </c>
      <c r="AA150" s="16"/>
      <c r="AB150" s="108">
        <f>SUM(AB147:AB149)</f>
        <v>0</v>
      </c>
      <c r="AC150" s="16"/>
      <c r="AD150" s="108">
        <f>SUM(AD147:AD149)</f>
        <v>0</v>
      </c>
      <c r="AE150" s="16"/>
      <c r="AF150" s="108">
        <f>SUM(AF147:AF149)</f>
        <v>0</v>
      </c>
      <c r="AG150" s="16"/>
      <c r="AH150" s="108">
        <f>SUM(AH147:AH149)</f>
        <v>0</v>
      </c>
      <c r="AI150" s="4"/>
      <c r="AJ150" s="108">
        <f>SUM(AJ147:AJ149)</f>
        <v>0</v>
      </c>
      <c r="AK150" s="4"/>
      <c r="AL150" s="108">
        <f>SUM(AL147:AL149)</f>
        <v>0</v>
      </c>
      <c r="AM150" s="4"/>
      <c r="AN150" s="108">
        <f>SUM(AN147:AN149)</f>
        <v>0</v>
      </c>
      <c r="AO150" s="16"/>
      <c r="AP150" s="108">
        <f>SUM(AP147:AP149)</f>
        <v>0</v>
      </c>
      <c r="AQ150" s="16"/>
      <c r="AR150" s="108">
        <f>SUM(AR147:AR149)</f>
        <v>0</v>
      </c>
      <c r="AS150" s="16"/>
      <c r="AT150" s="108">
        <f>SUM(AT147:AT149)</f>
        <v>0</v>
      </c>
      <c r="AU150" s="103"/>
      <c r="AV150" s="108">
        <f>SUM(AV147:AV149)</f>
        <v>0</v>
      </c>
      <c r="AW150" s="103"/>
      <c r="AX150" s="108">
        <f>SUM(AX147:AX149)</f>
        <v>0</v>
      </c>
      <c r="AY150" s="103"/>
      <c r="AZ150" s="108">
        <f>SUM(AZ147:AZ149)</f>
        <v>310380</v>
      </c>
      <c r="BA150" s="103"/>
      <c r="BB150" s="108">
        <f>SUM(BB147:BB149)</f>
        <v>1670726</v>
      </c>
      <c r="BC150" s="103"/>
      <c r="BD150" s="108">
        <f>SUM(BD147:BD149)</f>
        <v>-127637.5</v>
      </c>
      <c r="BE150" s="4"/>
      <c r="BF150" s="108">
        <f>SUM(BF147:BF149)</f>
        <v>0</v>
      </c>
      <c r="BG150" s="4"/>
      <c r="BH150" s="108">
        <f>SUM(BH147:BH149)</f>
        <v>0</v>
      </c>
      <c r="BI150" s="4"/>
      <c r="BJ150" s="108">
        <f>SUM(BJ147:BJ149)</f>
        <v>0</v>
      </c>
      <c r="BK150" s="4"/>
      <c r="BL150" s="108">
        <f>SUM(BL147:BL149)</f>
        <v>0</v>
      </c>
      <c r="BM150" s="4"/>
      <c r="BN150" s="108">
        <f>SUM(BN147:BN149)</f>
        <v>1853468.5</v>
      </c>
      <c r="BO150" s="4"/>
      <c r="BP150" s="108">
        <f>SUM(BP147:BP149)</f>
        <v>0</v>
      </c>
      <c r="BQ150" s="4"/>
      <c r="BR150" s="108">
        <f>SUM(BR147:BR149)</f>
        <v>0</v>
      </c>
      <c r="BS150" s="16"/>
      <c r="BT150" s="108">
        <f>SUM(BT147:BT149)</f>
        <v>1853468.5</v>
      </c>
      <c r="BU150" s="16"/>
      <c r="BV150" s="108">
        <f>SUM(BV147:BV149)</f>
        <v>-353468.5</v>
      </c>
      <c r="BW150" s="16"/>
    </row>
    <row r="151" spans="1:75" s="104" customFormat="1">
      <c r="A151" s="32"/>
      <c r="B151" s="77"/>
      <c r="C151" s="21"/>
      <c r="D151" s="21"/>
      <c r="E151" s="21"/>
      <c r="F151" s="21"/>
      <c r="G151" s="21"/>
      <c r="H151" s="21"/>
      <c r="I151" s="21"/>
      <c r="J151" s="8"/>
      <c r="K151" s="21"/>
      <c r="L151" s="141"/>
      <c r="M151" s="16"/>
      <c r="N151" s="103"/>
      <c r="O151" s="16"/>
      <c r="P151" s="103"/>
      <c r="Q151" s="16"/>
      <c r="R151" s="103"/>
      <c r="S151" s="16"/>
      <c r="T151" s="103"/>
      <c r="U151" s="16"/>
      <c r="V151" s="103"/>
      <c r="W151" s="16"/>
      <c r="X151" s="103"/>
      <c r="Y151" s="16"/>
      <c r="Z151" s="103"/>
      <c r="AA151" s="16"/>
      <c r="AB151" s="103"/>
      <c r="AC151" s="16"/>
      <c r="AD151" s="103"/>
      <c r="AE151" s="16"/>
      <c r="AF151" s="103"/>
      <c r="AG151" s="16"/>
      <c r="AH151" s="103"/>
      <c r="AI151" s="4"/>
      <c r="AJ151" s="103"/>
      <c r="AK151" s="4"/>
      <c r="AL151" s="103"/>
      <c r="AM151" s="4"/>
      <c r="AN151" s="103"/>
      <c r="AO151" s="16"/>
      <c r="AP151" s="103"/>
      <c r="AQ151" s="16"/>
      <c r="AR151" s="103"/>
      <c r="AS151" s="16"/>
      <c r="AT151" s="103"/>
      <c r="AU151" s="103"/>
      <c r="AV151" s="103"/>
      <c r="AW151" s="103"/>
      <c r="AX151" s="103"/>
      <c r="AY151" s="103"/>
      <c r="AZ151" s="103"/>
      <c r="BA151" s="103"/>
      <c r="BB151" s="103"/>
      <c r="BC151" s="103"/>
      <c r="BD151" s="103"/>
      <c r="BE151" s="4"/>
      <c r="BF151" s="103"/>
      <c r="BG151" s="4"/>
      <c r="BH151" s="103"/>
      <c r="BI151" s="4"/>
      <c r="BJ151" s="103"/>
      <c r="BK151" s="4"/>
      <c r="BL151" s="103"/>
      <c r="BM151" s="4"/>
      <c r="BN151" s="103"/>
      <c r="BO151" s="4"/>
      <c r="BP151" s="103"/>
      <c r="BQ151" s="4"/>
      <c r="BR151" s="103"/>
      <c r="BS151" s="16"/>
      <c r="BT151" s="103"/>
      <c r="BU151" s="16"/>
      <c r="BV151" s="103"/>
      <c r="BW151" s="16"/>
    </row>
    <row r="152" spans="1:75" s="31" customFormat="1">
      <c r="A152" s="58" t="s">
        <v>31</v>
      </c>
      <c r="J152" s="156"/>
      <c r="L152" s="143" t="s">
        <v>202</v>
      </c>
      <c r="M152" s="10"/>
      <c r="N152" s="10">
        <v>0</v>
      </c>
      <c r="O152" s="10"/>
      <c r="P152" s="10">
        <v>0</v>
      </c>
      <c r="Q152" s="10"/>
      <c r="R152" s="9">
        <v>150000</v>
      </c>
      <c r="S152" s="10"/>
      <c r="T152" s="10">
        <v>0</v>
      </c>
      <c r="U152" s="10"/>
      <c r="V152" s="10">
        <v>0</v>
      </c>
      <c r="W152" s="10"/>
      <c r="X152" s="10">
        <v>0</v>
      </c>
      <c r="Y152" s="10"/>
      <c r="Z152" s="10">
        <v>0</v>
      </c>
      <c r="AA152" s="10"/>
      <c r="AB152" s="10">
        <v>0</v>
      </c>
      <c r="AC152" s="10"/>
      <c r="AD152" s="10">
        <v>0</v>
      </c>
      <c r="AE152" s="10"/>
      <c r="AF152" s="10">
        <v>0</v>
      </c>
      <c r="AG152" s="10"/>
      <c r="AH152" s="10">
        <v>0</v>
      </c>
      <c r="AI152" s="4"/>
      <c r="AJ152" s="10">
        <v>0</v>
      </c>
      <c r="AK152" s="4"/>
      <c r="AL152" s="10">
        <v>0</v>
      </c>
      <c r="AM152" s="4"/>
      <c r="AN152" s="10">
        <v>0</v>
      </c>
      <c r="AO152" s="10"/>
      <c r="AP152" s="10">
        <v>0</v>
      </c>
      <c r="AQ152" s="10"/>
      <c r="AR152" s="10">
        <v>266248.5</v>
      </c>
      <c r="AS152" s="10"/>
      <c r="AT152" s="10">
        <v>0</v>
      </c>
      <c r="AU152" s="10"/>
      <c r="AV152" s="10">
        <v>0</v>
      </c>
      <c r="AW152" s="10"/>
      <c r="AX152" s="10">
        <v>0</v>
      </c>
      <c r="AY152" s="10"/>
      <c r="AZ152" s="10">
        <v>5000</v>
      </c>
      <c r="BA152" s="10"/>
      <c r="BB152" s="10">
        <v>0</v>
      </c>
      <c r="BC152" s="10"/>
      <c r="BD152" s="10">
        <v>0</v>
      </c>
      <c r="BE152" s="4"/>
      <c r="BF152" s="10">
        <v>59.75</v>
      </c>
      <c r="BG152" s="4"/>
      <c r="BH152" s="10">
        <v>0</v>
      </c>
      <c r="BI152" s="4"/>
      <c r="BJ152" s="10">
        <v>0</v>
      </c>
      <c r="BK152" s="4"/>
      <c r="BL152" s="10">
        <v>0</v>
      </c>
      <c r="BM152" s="4"/>
      <c r="BN152" s="10">
        <f>SUM(T152:BM152)</f>
        <v>271308.25</v>
      </c>
      <c r="BO152" s="4"/>
      <c r="BP152" s="10">
        <v>0</v>
      </c>
      <c r="BQ152" s="4"/>
      <c r="BR152" s="6">
        <f>IF(+R152-BN152+BP152&gt;0,R152-BN152+BP152,0)</f>
        <v>0</v>
      </c>
      <c r="BS152" s="10"/>
      <c r="BT152" s="9">
        <f>+BN152+BR152</f>
        <v>271308.25</v>
      </c>
      <c r="BU152" s="10"/>
      <c r="BV152" s="9">
        <f>+R152-BT152</f>
        <v>-121308.25</v>
      </c>
      <c r="BW152" s="10"/>
    </row>
    <row r="153" spans="1:75" s="15" customFormat="1">
      <c r="A153" s="109"/>
      <c r="B153" s="60"/>
      <c r="C153" s="4"/>
      <c r="D153" s="4"/>
      <c r="E153" s="4"/>
      <c r="F153" s="4"/>
      <c r="G153" s="4"/>
      <c r="H153" s="4"/>
      <c r="I153" s="4"/>
      <c r="J153" s="5"/>
      <c r="K153" s="4"/>
      <c r="L153" s="138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4"/>
      <c r="AJ153" s="22"/>
      <c r="AK153" s="4"/>
      <c r="AL153" s="22"/>
      <c r="AM153" s="4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4"/>
      <c r="BF153" s="22"/>
      <c r="BG153" s="4"/>
      <c r="BH153" s="22"/>
      <c r="BI153" s="4"/>
      <c r="BJ153" s="22"/>
      <c r="BK153" s="4"/>
      <c r="BL153" s="22"/>
      <c r="BM153" s="4"/>
      <c r="BN153" s="22"/>
      <c r="BO153" s="4"/>
      <c r="BP153" s="22"/>
      <c r="BQ153" s="4"/>
      <c r="BR153" s="22"/>
      <c r="BS153" s="22"/>
      <c r="BT153" s="22"/>
      <c r="BU153" s="22"/>
      <c r="BV153" s="22"/>
      <c r="BW153" s="22"/>
    </row>
    <row r="154" spans="1:75" s="31" customFormat="1">
      <c r="A154" s="58" t="s">
        <v>32</v>
      </c>
      <c r="J154" s="156"/>
      <c r="L154" s="143" t="s">
        <v>202</v>
      </c>
      <c r="M154" s="10"/>
      <c r="N154" s="10">
        <v>0</v>
      </c>
      <c r="O154" s="10"/>
      <c r="P154" s="10">
        <v>0</v>
      </c>
      <c r="Q154" s="10"/>
      <c r="R154" s="9">
        <v>200000</v>
      </c>
      <c r="S154" s="10"/>
      <c r="T154" s="10">
        <v>0</v>
      </c>
      <c r="U154" s="10"/>
      <c r="V154" s="10">
        <v>0</v>
      </c>
      <c r="W154" s="10"/>
      <c r="X154" s="10"/>
      <c r="Y154" s="10"/>
      <c r="Z154" s="10">
        <v>0</v>
      </c>
      <c r="AA154" s="10"/>
      <c r="AB154" s="10">
        <v>0</v>
      </c>
      <c r="AC154" s="10"/>
      <c r="AD154" s="10">
        <v>29401.83</v>
      </c>
      <c r="AE154" s="10"/>
      <c r="AF154" s="10">
        <v>13770.85</v>
      </c>
      <c r="AG154" s="10"/>
      <c r="AH154" s="10">
        <v>7745.74</v>
      </c>
      <c r="AI154" s="4"/>
      <c r="AJ154" s="10">
        <v>6275.69</v>
      </c>
      <c r="AK154" s="4"/>
      <c r="AL154" s="10">
        <v>0</v>
      </c>
      <c r="AM154" s="4"/>
      <c r="AN154" s="10">
        <v>0</v>
      </c>
      <c r="AO154" s="10"/>
      <c r="AP154" s="10">
        <v>0</v>
      </c>
      <c r="AQ154" s="10"/>
      <c r="AR154" s="10">
        <v>0</v>
      </c>
      <c r="AS154" s="10"/>
      <c r="AT154" s="10">
        <v>0</v>
      </c>
      <c r="AU154" s="10"/>
      <c r="AV154" s="10">
        <v>0</v>
      </c>
      <c r="AW154" s="10"/>
      <c r="AX154" s="10">
        <v>9119.08</v>
      </c>
      <c r="AY154" s="10"/>
      <c r="AZ154" s="10">
        <v>9717.4500000000007</v>
      </c>
      <c r="BA154" s="10"/>
      <c r="BB154" s="10">
        <v>33664</v>
      </c>
      <c r="BC154" s="10"/>
      <c r="BD154" s="10">
        <v>0</v>
      </c>
      <c r="BE154" s="4"/>
      <c r="BF154" s="10">
        <v>0</v>
      </c>
      <c r="BG154" s="4"/>
      <c r="BH154" s="10">
        <v>0</v>
      </c>
      <c r="BI154" s="4"/>
      <c r="BJ154" s="10">
        <v>0</v>
      </c>
      <c r="BK154" s="4"/>
      <c r="BL154" s="10">
        <v>0</v>
      </c>
      <c r="BM154" s="4"/>
      <c r="BN154" s="10">
        <f>SUM(T154:BM154)</f>
        <v>109694.64</v>
      </c>
      <c r="BO154" s="4"/>
      <c r="BP154" s="10">
        <v>-90305</v>
      </c>
      <c r="BQ154" s="4"/>
      <c r="BR154" s="6">
        <f>IF(+R154-BN154+BP154&gt;0,R154-BN154+BP154,0)</f>
        <v>0.36000000000058208</v>
      </c>
      <c r="BS154" s="10"/>
      <c r="BT154" s="9">
        <f>+BN154+BR154</f>
        <v>109695</v>
      </c>
      <c r="BU154" s="10"/>
      <c r="BV154" s="6">
        <f>+R154-BT154</f>
        <v>90305</v>
      </c>
      <c r="BW154" s="10"/>
    </row>
    <row r="155" spans="1:75" s="15" customFormat="1">
      <c r="A155" s="109"/>
      <c r="B155" s="60"/>
      <c r="C155" s="4"/>
      <c r="D155" s="4"/>
      <c r="E155" s="4"/>
      <c r="F155" s="4"/>
      <c r="G155" s="4"/>
      <c r="H155" s="4"/>
      <c r="I155" s="4"/>
      <c r="J155" s="5"/>
      <c r="K155" s="4"/>
      <c r="L155" s="138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4"/>
      <c r="AJ155" s="22"/>
      <c r="AK155" s="4"/>
      <c r="AL155" s="22"/>
      <c r="AM155" s="4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4"/>
      <c r="BF155" s="22"/>
      <c r="BG155" s="4"/>
      <c r="BH155" s="22"/>
      <c r="BI155" s="4"/>
      <c r="BJ155" s="22"/>
      <c r="BK155" s="4"/>
      <c r="BL155" s="22"/>
      <c r="BM155" s="4"/>
      <c r="BN155" s="22"/>
      <c r="BO155" s="4"/>
      <c r="BP155" s="22"/>
      <c r="BQ155" s="4"/>
      <c r="BR155" s="22"/>
      <c r="BS155" s="22"/>
      <c r="BT155" s="22"/>
      <c r="BU155" s="22"/>
      <c r="BV155" s="22"/>
      <c r="BW155" s="22"/>
    </row>
    <row r="156" spans="1:75">
      <c r="A156" s="58" t="s">
        <v>33</v>
      </c>
      <c r="B156" s="11"/>
      <c r="E156" s="4"/>
      <c r="G156" s="4"/>
      <c r="I156" s="4"/>
      <c r="L156" s="138"/>
      <c r="M156" s="6"/>
      <c r="O156" s="6"/>
      <c r="Q156" s="6"/>
      <c r="S156" s="6"/>
      <c r="T156" s="6"/>
      <c r="U156" s="6"/>
      <c r="V156" s="6"/>
      <c r="X156" s="6"/>
      <c r="Z156" s="6"/>
      <c r="AB156" s="6"/>
      <c r="AD156" s="6"/>
      <c r="AI156" s="4"/>
      <c r="BJ156" s="6"/>
      <c r="BL156" s="6"/>
      <c r="BN156" s="22"/>
      <c r="BP156" s="6"/>
      <c r="BW156" s="6"/>
    </row>
    <row r="157" spans="1:75" s="11" customFormat="1">
      <c r="A157" s="17"/>
      <c r="B157" s="11" t="s">
        <v>184</v>
      </c>
      <c r="J157" s="157"/>
      <c r="L157" s="144" t="s">
        <v>203</v>
      </c>
      <c r="M157" s="12"/>
      <c r="N157" s="12">
        <v>200000</v>
      </c>
      <c r="O157" s="12"/>
      <c r="P157" s="12">
        <v>0</v>
      </c>
      <c r="Q157" s="12"/>
      <c r="R157" s="6">
        <v>35000</v>
      </c>
      <c r="S157" s="12"/>
      <c r="T157" s="12">
        <v>0</v>
      </c>
      <c r="U157" s="12"/>
      <c r="V157" s="12">
        <v>0</v>
      </c>
      <c r="W157" s="12"/>
      <c r="X157" s="12">
        <v>22604</v>
      </c>
      <c r="Y157" s="12"/>
      <c r="Z157" s="12">
        <v>0</v>
      </c>
      <c r="AA157" s="12"/>
      <c r="AB157" s="12">
        <v>7949</v>
      </c>
      <c r="AC157" s="12"/>
      <c r="AD157" s="12">
        <v>0</v>
      </c>
      <c r="AE157" s="12"/>
      <c r="AF157" s="12"/>
      <c r="AG157" s="12"/>
      <c r="AH157" s="12">
        <v>0</v>
      </c>
      <c r="AI157" s="4"/>
      <c r="AJ157" s="12">
        <v>0</v>
      </c>
      <c r="AK157" s="4"/>
      <c r="AL157" s="12">
        <v>6591.41</v>
      </c>
      <c r="AM157" s="4"/>
      <c r="AN157" s="12">
        <v>0</v>
      </c>
      <c r="AO157" s="12"/>
      <c r="AP157" s="12">
        <v>0</v>
      </c>
      <c r="AQ157" s="12"/>
      <c r="AR157" s="12">
        <v>0</v>
      </c>
      <c r="AS157" s="12"/>
      <c r="AT157" s="12">
        <v>0</v>
      </c>
      <c r="AU157" s="12"/>
      <c r="AV157" s="12">
        <v>19123.98</v>
      </c>
      <c r="AW157" s="12"/>
      <c r="AX157" s="12">
        <v>0</v>
      </c>
      <c r="AY157" s="12"/>
      <c r="AZ157" s="12">
        <v>0</v>
      </c>
      <c r="BA157" s="12"/>
      <c r="BB157" s="12">
        <f>-56268+[1]Wilton!$Y$62</f>
        <v>-33664</v>
      </c>
      <c r="BC157" s="12"/>
      <c r="BD157" s="12">
        <v>0</v>
      </c>
      <c r="BE157" s="4"/>
      <c r="BF157" s="12">
        <v>0</v>
      </c>
      <c r="BG157" s="4"/>
      <c r="BH157" s="12">
        <v>0</v>
      </c>
      <c r="BI157" s="4"/>
      <c r="BJ157" s="12">
        <v>0</v>
      </c>
      <c r="BK157" s="4"/>
      <c r="BL157" s="12">
        <v>0</v>
      </c>
      <c r="BM157" s="4"/>
      <c r="BN157" s="80">
        <f t="shared" ref="BN157:BN162" si="27">SUM(T157:BM157)</f>
        <v>22604.39</v>
      </c>
      <c r="BO157" s="4"/>
      <c r="BP157" s="12">
        <v>-12396</v>
      </c>
      <c r="BQ157" s="4"/>
      <c r="BR157" s="6">
        <f t="shared" ref="BR157:BR162" si="28">IF(+R157-BN157+BP157&gt;0,R157-BN157+BP157,0)</f>
        <v>0</v>
      </c>
      <c r="BS157" s="12"/>
      <c r="BT157" s="6">
        <f t="shared" ref="BT157:BT162" si="29">+BN157+BR157</f>
        <v>22604.39</v>
      </c>
      <c r="BU157" s="12"/>
      <c r="BV157" s="6">
        <f t="shared" ref="BV157:BV162" si="30">+R157-BT157</f>
        <v>12395.61</v>
      </c>
      <c r="BW157" s="12"/>
    </row>
    <row r="158" spans="1:75" s="11" customFormat="1">
      <c r="A158" s="17"/>
      <c r="B158" s="11" t="s">
        <v>34</v>
      </c>
      <c r="J158" s="157"/>
      <c r="L158" s="144" t="s">
        <v>203</v>
      </c>
      <c r="M158" s="12"/>
      <c r="N158" s="12">
        <v>0</v>
      </c>
      <c r="O158" s="12"/>
      <c r="P158" s="12">
        <v>50000</v>
      </c>
      <c r="Q158" s="12"/>
      <c r="R158" s="6">
        <v>45000</v>
      </c>
      <c r="S158" s="12"/>
      <c r="T158" s="12">
        <v>0</v>
      </c>
      <c r="U158" s="12"/>
      <c r="V158" s="12">
        <v>1236</v>
      </c>
      <c r="W158" s="12"/>
      <c r="X158" s="12">
        <v>9770</v>
      </c>
      <c r="Y158" s="12"/>
      <c r="Z158" s="12">
        <v>5706</v>
      </c>
      <c r="AA158" s="12"/>
      <c r="AB158" s="12">
        <v>9652</v>
      </c>
      <c r="AC158" s="12"/>
      <c r="AD158" s="12">
        <v>3504</v>
      </c>
      <c r="AE158" s="12"/>
      <c r="AF158" s="12">
        <v>5185.43</v>
      </c>
      <c r="AG158" s="12"/>
      <c r="AH158" s="12">
        <v>3598.69</v>
      </c>
      <c r="AI158" s="4"/>
      <c r="AJ158" s="12">
        <v>3892.71</v>
      </c>
      <c r="AK158" s="4"/>
      <c r="AL158" s="12">
        <v>6342.74</v>
      </c>
      <c r="AM158" s="4"/>
      <c r="AN158" s="12">
        <v>1599.42</v>
      </c>
      <c r="AO158" s="12"/>
      <c r="AP158" s="12">
        <v>3506.18</v>
      </c>
      <c r="AQ158" s="12"/>
      <c r="AR158" s="12">
        <v>5695.65</v>
      </c>
      <c r="AS158" s="12"/>
      <c r="AT158" s="12">
        <f>1559.48+7479.23</f>
        <v>9038.7099999999991</v>
      </c>
      <c r="AU158" s="12"/>
      <c r="AV158" s="12">
        <v>3164.35</v>
      </c>
      <c r="AW158" s="12"/>
      <c r="AX158" s="12">
        <v>3884.55</v>
      </c>
      <c r="AY158" s="12"/>
      <c r="AZ158" s="12">
        <v>1293.25</v>
      </c>
      <c r="BA158" s="12"/>
      <c r="BB158" s="12">
        <f>661.15+767.53</f>
        <v>1428.6799999999998</v>
      </c>
      <c r="BC158" s="12"/>
      <c r="BD158" s="12">
        <v>0</v>
      </c>
      <c r="BE158" s="4"/>
      <c r="BF158" s="12">
        <v>0</v>
      </c>
      <c r="BG158" s="4"/>
      <c r="BH158" s="12">
        <v>0</v>
      </c>
      <c r="BI158" s="4"/>
      <c r="BJ158" s="12">
        <v>0</v>
      </c>
      <c r="BK158" s="4"/>
      <c r="BL158" s="12">
        <v>0</v>
      </c>
      <c r="BM158" s="4"/>
      <c r="BN158" s="80">
        <f t="shared" si="27"/>
        <v>78498.36</v>
      </c>
      <c r="BO158" s="4"/>
      <c r="BP158" s="12">
        <v>6683</v>
      </c>
      <c r="BQ158" s="4"/>
      <c r="BR158" s="6">
        <f t="shared" si="28"/>
        <v>0</v>
      </c>
      <c r="BS158" s="12"/>
      <c r="BT158" s="6">
        <f t="shared" si="29"/>
        <v>78498.36</v>
      </c>
      <c r="BU158" s="12"/>
      <c r="BV158" s="6">
        <f t="shared" si="30"/>
        <v>-33498.36</v>
      </c>
      <c r="BW158" s="12"/>
    </row>
    <row r="159" spans="1:75" s="11" customFormat="1">
      <c r="A159" s="17"/>
      <c r="B159" s="11" t="s">
        <v>317</v>
      </c>
      <c r="J159" s="157"/>
      <c r="L159" s="144" t="s">
        <v>203</v>
      </c>
      <c r="M159" s="12"/>
      <c r="N159" s="12">
        <v>0</v>
      </c>
      <c r="O159" s="12"/>
      <c r="P159" s="12">
        <v>24235</v>
      </c>
      <c r="Q159" s="12"/>
      <c r="R159" s="6">
        <v>0</v>
      </c>
      <c r="S159" s="12"/>
      <c r="T159" s="12">
        <v>0</v>
      </c>
      <c r="U159" s="12"/>
      <c r="V159" s="12">
        <v>0</v>
      </c>
      <c r="W159" s="12"/>
      <c r="X159" s="12">
        <v>0</v>
      </c>
      <c r="Y159" s="12"/>
      <c r="Z159" s="12">
        <v>0</v>
      </c>
      <c r="AA159" s="12"/>
      <c r="AB159" s="12">
        <v>0</v>
      </c>
      <c r="AC159" s="12"/>
      <c r="AD159" s="12">
        <v>0</v>
      </c>
      <c r="AE159" s="12"/>
      <c r="AF159" s="12">
        <v>0</v>
      </c>
      <c r="AG159" s="12"/>
      <c r="AH159" s="12">
        <v>0</v>
      </c>
      <c r="AI159" s="4"/>
      <c r="AJ159" s="12">
        <v>0</v>
      </c>
      <c r="AK159" s="4"/>
      <c r="AL159" s="12">
        <v>0</v>
      </c>
      <c r="AM159" s="4"/>
      <c r="AN159" s="12">
        <v>37759.78</v>
      </c>
      <c r="AO159" s="12"/>
      <c r="AP159" s="12">
        <v>42194.99</v>
      </c>
      <c r="AQ159" s="12"/>
      <c r="AR159" s="12">
        <v>35999.89</v>
      </c>
      <c r="AS159" s="12"/>
      <c r="AT159" s="12">
        <v>35401.089999999997</v>
      </c>
      <c r="AU159" s="12"/>
      <c r="AV159" s="12">
        <v>38258.9</v>
      </c>
      <c r="AW159" s="12"/>
      <c r="AX159" s="12">
        <v>64824.959999999999</v>
      </c>
      <c r="AY159" s="12"/>
      <c r="AZ159" s="12">
        <v>99822</v>
      </c>
      <c r="BA159" s="12"/>
      <c r="BB159" s="12">
        <v>0</v>
      </c>
      <c r="BC159" s="12"/>
      <c r="BD159" s="12">
        <f>73972.18+57369.39</f>
        <v>131341.57</v>
      </c>
      <c r="BE159" s="4"/>
      <c r="BF159" s="12">
        <v>0</v>
      </c>
      <c r="BG159" s="4"/>
      <c r="BH159" s="12">
        <v>29358.5</v>
      </c>
      <c r="BI159" s="4"/>
      <c r="BJ159" s="12">
        <v>0</v>
      </c>
      <c r="BK159" s="4"/>
      <c r="BL159" s="12">
        <v>0</v>
      </c>
      <c r="BM159" s="4"/>
      <c r="BN159" s="80">
        <f t="shared" si="27"/>
        <v>514961.68</v>
      </c>
      <c r="BO159" s="4"/>
      <c r="BP159" s="12">
        <v>79955</v>
      </c>
      <c r="BQ159" s="4"/>
      <c r="BR159" s="6">
        <f t="shared" si="28"/>
        <v>0</v>
      </c>
      <c r="BS159" s="12"/>
      <c r="BT159" s="6">
        <f t="shared" si="29"/>
        <v>514961.68</v>
      </c>
      <c r="BU159" s="12"/>
      <c r="BV159" s="6">
        <f t="shared" si="30"/>
        <v>-514961.68</v>
      </c>
      <c r="BW159" s="12"/>
    </row>
    <row r="160" spans="1:75" s="11" customFormat="1">
      <c r="A160" s="17"/>
      <c r="B160" s="11" t="s">
        <v>121</v>
      </c>
      <c r="J160" s="157"/>
      <c r="L160" s="144" t="s">
        <v>203</v>
      </c>
      <c r="M160" s="12"/>
      <c r="N160" s="12">
        <v>400000</v>
      </c>
      <c r="O160" s="12"/>
      <c r="P160" s="12">
        <f>49065-N160-6000</f>
        <v>-356935</v>
      </c>
      <c r="Q160" s="12"/>
      <c r="R160" s="6">
        <f>129593+5000</f>
        <v>134593</v>
      </c>
      <c r="S160" s="12"/>
      <c r="T160" s="12">
        <v>0</v>
      </c>
      <c r="U160" s="12"/>
      <c r="V160" s="12">
        <v>0</v>
      </c>
      <c r="W160" s="12"/>
      <c r="X160" s="12">
        <v>46735</v>
      </c>
      <c r="Y160" s="12"/>
      <c r="Z160" s="12">
        <v>21114</v>
      </c>
      <c r="AA160" s="12"/>
      <c r="AB160" s="12">
        <v>1899</v>
      </c>
      <c r="AC160" s="12"/>
      <c r="AD160" s="12">
        <v>8288</v>
      </c>
      <c r="AE160" s="12"/>
      <c r="AF160" s="12">
        <f>3330+7426.97+30387.78+738+100+50+20+10+11200+31000</f>
        <v>84262.75</v>
      </c>
      <c r="AG160" s="12"/>
      <c r="AH160" s="12">
        <f>10000+838.34</f>
        <v>10838.34</v>
      </c>
      <c r="AI160" s="4"/>
      <c r="AJ160" s="12">
        <v>0</v>
      </c>
      <c r="AK160" s="4"/>
      <c r="AL160" s="12">
        <v>20657.14</v>
      </c>
      <c r="AM160" s="4"/>
      <c r="AN160" s="12">
        <f>46225.52-37759.78</f>
        <v>8465.739999999998</v>
      </c>
      <c r="AO160" s="12"/>
      <c r="AP160" s="12">
        <f>1415.06+712.75</f>
        <v>2127.81</v>
      </c>
      <c r="AQ160" s="12"/>
      <c r="AR160" s="12">
        <f>2610+1500+540+200</f>
        <v>4850</v>
      </c>
      <c r="AS160" s="12"/>
      <c r="AT160" s="12">
        <f>1890.2+1000+2500+400.16+838.34</f>
        <v>6628.7</v>
      </c>
      <c r="AU160" s="12"/>
      <c r="AV160" s="12">
        <v>822.91</v>
      </c>
      <c r="AW160" s="12"/>
      <c r="AX160" s="12">
        <f>1450+1015+420+300+562.5+209+1085.4</f>
        <v>5041.8999999999996</v>
      </c>
      <c r="AY160" s="12"/>
      <c r="AZ160" s="12">
        <f>17+17+540+1</f>
        <v>575</v>
      </c>
      <c r="BA160" s="12"/>
      <c r="BB160" s="12">
        <f>58425.46+17.25+1500-1450-1015</f>
        <v>57477.71</v>
      </c>
      <c r="BC160" s="12"/>
      <c r="BD160" s="12">
        <f>21906+540+39105+39803.97+6077</f>
        <v>107431.97</v>
      </c>
      <c r="BE160" s="4"/>
      <c r="BF160" s="12">
        <f>17899.3+13668.55</f>
        <v>31567.85</v>
      </c>
      <c r="BG160" s="4"/>
      <c r="BH160" s="12">
        <f>1440+508.85+201.65+575+69.25</f>
        <v>2794.75</v>
      </c>
      <c r="BI160" s="4"/>
      <c r="BJ160" s="12">
        <f>123+2781+68</f>
        <v>2972</v>
      </c>
      <c r="BK160" s="4"/>
      <c r="BL160" s="12">
        <f>750+91726</f>
        <v>92476</v>
      </c>
      <c r="BM160" s="4"/>
      <c r="BN160" s="80">
        <f t="shared" si="27"/>
        <v>517026.56999999995</v>
      </c>
      <c r="BO160" s="4"/>
      <c r="BP160" s="12">
        <v>106842</v>
      </c>
      <c r="BQ160" s="4"/>
      <c r="BR160" s="6">
        <f t="shared" si="28"/>
        <v>0</v>
      </c>
      <c r="BS160" s="12"/>
      <c r="BT160" s="6">
        <f t="shared" si="29"/>
        <v>517026.56999999995</v>
      </c>
      <c r="BU160" s="12"/>
      <c r="BV160" s="6">
        <f t="shared" si="30"/>
        <v>-382433.56999999995</v>
      </c>
      <c r="BW160" s="12"/>
    </row>
    <row r="161" spans="1:124" s="11" customFormat="1">
      <c r="A161" s="17"/>
      <c r="B161" s="11" t="s">
        <v>331</v>
      </c>
      <c r="J161" s="157"/>
      <c r="L161" s="144"/>
      <c r="M161" s="12"/>
      <c r="N161" s="12"/>
      <c r="O161" s="12"/>
      <c r="P161" s="12"/>
      <c r="Q161" s="12"/>
      <c r="R161" s="6">
        <v>0</v>
      </c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4"/>
      <c r="AJ161" s="12"/>
      <c r="AK161" s="4"/>
      <c r="AL161" s="12"/>
      <c r="AM161" s="4"/>
      <c r="AN161" s="12"/>
      <c r="AO161" s="12"/>
      <c r="AP161" s="12">
        <v>83333.33</v>
      </c>
      <c r="AQ161" s="12"/>
      <c r="AR161" s="12">
        <f>82333.33+25346.23</f>
        <v>107679.56</v>
      </c>
      <c r="AS161" s="12"/>
      <c r="AT161" s="12"/>
      <c r="AU161" s="12"/>
      <c r="AV161" s="12"/>
      <c r="AW161" s="12"/>
      <c r="AX161" s="12"/>
      <c r="AY161" s="12"/>
      <c r="AZ161" s="12"/>
      <c r="BA161" s="12"/>
      <c r="BB161" s="12"/>
      <c r="BC161" s="12"/>
      <c r="BE161" s="4"/>
      <c r="BF161" s="12"/>
      <c r="BG161" s="4"/>
      <c r="BH161" s="12"/>
      <c r="BI161" s="4"/>
      <c r="BJ161" s="12"/>
      <c r="BK161" s="4"/>
      <c r="BL161" s="12"/>
      <c r="BM161" s="4"/>
      <c r="BN161" s="80">
        <f t="shared" si="27"/>
        <v>191012.89</v>
      </c>
      <c r="BO161" s="4"/>
      <c r="BP161" s="12">
        <v>0</v>
      </c>
      <c r="BQ161" s="4"/>
      <c r="BR161" s="6">
        <f t="shared" si="28"/>
        <v>0</v>
      </c>
      <c r="BS161" s="12"/>
      <c r="BT161" s="6">
        <f t="shared" si="29"/>
        <v>191012.89</v>
      </c>
      <c r="BU161" s="12"/>
      <c r="BV161" s="6">
        <f t="shared" si="30"/>
        <v>-191012.89</v>
      </c>
      <c r="BW161" s="12"/>
    </row>
    <row r="162" spans="1:124" s="11" customFormat="1">
      <c r="A162" s="17"/>
      <c r="B162" s="11" t="s">
        <v>279</v>
      </c>
      <c r="J162" s="157"/>
      <c r="L162" s="144"/>
      <c r="M162" s="12"/>
      <c r="N162" s="12"/>
      <c r="O162" s="12"/>
      <c r="P162" s="12"/>
      <c r="Q162" s="12"/>
      <c r="R162" s="6">
        <v>0</v>
      </c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>
        <f>199867.23-30387.78-11200-31000</f>
        <v>127279.45000000001</v>
      </c>
      <c r="AG162" s="12"/>
      <c r="AH162" s="12">
        <f>1916.6+566.91+3047.17+16608.78+17351.65+10439.68</f>
        <v>49930.79</v>
      </c>
      <c r="AI162" s="4"/>
      <c r="AJ162" s="12">
        <v>29848.78</v>
      </c>
      <c r="AK162" s="4"/>
      <c r="AL162" s="12"/>
      <c r="AM162" s="4"/>
      <c r="AN162" s="12"/>
      <c r="AO162" s="12"/>
      <c r="AP162" s="12"/>
      <c r="AQ162" s="12"/>
      <c r="AR162" s="12"/>
      <c r="AS162" s="12"/>
      <c r="AT162" s="12"/>
      <c r="AU162" s="12"/>
      <c r="AV162" s="12"/>
      <c r="AW162" s="12"/>
      <c r="AX162" s="12"/>
      <c r="AY162" s="12"/>
      <c r="AZ162" s="12"/>
      <c r="BA162" s="12"/>
      <c r="BB162" s="12"/>
      <c r="BC162" s="12"/>
      <c r="BD162" s="12"/>
      <c r="BE162" s="4"/>
      <c r="BF162" s="12"/>
      <c r="BG162" s="4"/>
      <c r="BH162" s="12"/>
      <c r="BI162" s="4"/>
      <c r="BJ162" s="12"/>
      <c r="BK162" s="4"/>
      <c r="BL162" s="12"/>
      <c r="BM162" s="4"/>
      <c r="BN162" s="80">
        <f t="shared" si="27"/>
        <v>207059.02000000002</v>
      </c>
      <c r="BO162" s="4"/>
      <c r="BP162" s="12">
        <v>207059</v>
      </c>
      <c r="BQ162" s="4"/>
      <c r="BR162" s="6">
        <f t="shared" si="28"/>
        <v>0</v>
      </c>
      <c r="BS162" s="12"/>
      <c r="BT162" s="6">
        <f t="shared" si="29"/>
        <v>207059.02000000002</v>
      </c>
      <c r="BU162" s="12"/>
      <c r="BV162" s="6">
        <f t="shared" si="30"/>
        <v>-207059.02000000002</v>
      </c>
      <c r="BW162" s="12"/>
    </row>
    <row r="163" spans="1:124" s="21" customFormat="1">
      <c r="A163" s="58"/>
      <c r="B163" s="31" t="s">
        <v>40</v>
      </c>
      <c r="J163" s="8"/>
      <c r="L163" s="141"/>
      <c r="M163" s="9"/>
      <c r="N163" s="102">
        <f>SUM(N157:N160)</f>
        <v>600000</v>
      </c>
      <c r="O163" s="9"/>
      <c r="P163" s="102">
        <f>SUM(P157:P160)</f>
        <v>-282700</v>
      </c>
      <c r="Q163" s="9"/>
      <c r="R163" s="102">
        <f t="shared" ref="R163:AD163" si="31">SUM(R157:R162)</f>
        <v>214593</v>
      </c>
      <c r="S163" s="102">
        <f t="shared" si="31"/>
        <v>0</v>
      </c>
      <c r="T163" s="102">
        <f t="shared" si="31"/>
        <v>0</v>
      </c>
      <c r="U163" s="102">
        <f t="shared" si="31"/>
        <v>0</v>
      </c>
      <c r="V163" s="102">
        <f t="shared" si="31"/>
        <v>1236</v>
      </c>
      <c r="W163" s="102">
        <f t="shared" si="31"/>
        <v>0</v>
      </c>
      <c r="X163" s="102">
        <f t="shared" si="31"/>
        <v>79109</v>
      </c>
      <c r="Y163" s="102">
        <f t="shared" si="31"/>
        <v>0</v>
      </c>
      <c r="Z163" s="102">
        <f t="shared" si="31"/>
        <v>26820</v>
      </c>
      <c r="AA163" s="102">
        <f t="shared" si="31"/>
        <v>0</v>
      </c>
      <c r="AB163" s="102">
        <f t="shared" si="31"/>
        <v>19500</v>
      </c>
      <c r="AC163" s="102">
        <f t="shared" si="31"/>
        <v>0</v>
      </c>
      <c r="AD163" s="102">
        <f t="shared" si="31"/>
        <v>11792</v>
      </c>
      <c r="AE163" s="102"/>
      <c r="AF163" s="102">
        <f>SUM(AF157:AF162)</f>
        <v>216727.63</v>
      </c>
      <c r="AG163" s="102"/>
      <c r="AH163" s="102">
        <f t="shared" ref="AH163:BN163" si="32">SUM(AH157:AH162)</f>
        <v>64367.82</v>
      </c>
      <c r="AI163" s="4"/>
      <c r="AJ163" s="102">
        <f t="shared" si="32"/>
        <v>33741.49</v>
      </c>
      <c r="AK163" s="4"/>
      <c r="AL163" s="102">
        <f t="shared" si="32"/>
        <v>33591.29</v>
      </c>
      <c r="AM163" s="4"/>
      <c r="AN163" s="102">
        <f t="shared" si="32"/>
        <v>47824.939999999995</v>
      </c>
      <c r="AO163" s="102">
        <f t="shared" si="32"/>
        <v>0</v>
      </c>
      <c r="AP163" s="102">
        <f t="shared" si="32"/>
        <v>131162.31</v>
      </c>
      <c r="AQ163" s="102">
        <f t="shared" si="32"/>
        <v>0</v>
      </c>
      <c r="AR163" s="102">
        <f t="shared" si="32"/>
        <v>154225.1</v>
      </c>
      <c r="AS163" s="102">
        <f t="shared" si="32"/>
        <v>0</v>
      </c>
      <c r="AT163" s="102">
        <f t="shared" si="32"/>
        <v>51068.499999999993</v>
      </c>
      <c r="AU163" s="102">
        <f t="shared" si="32"/>
        <v>0</v>
      </c>
      <c r="AV163" s="102">
        <f t="shared" si="32"/>
        <v>61370.14</v>
      </c>
      <c r="AW163" s="102">
        <f t="shared" si="32"/>
        <v>0</v>
      </c>
      <c r="AX163" s="102">
        <f t="shared" si="32"/>
        <v>73751.409999999989</v>
      </c>
      <c r="AY163" s="102">
        <f t="shared" si="32"/>
        <v>0</v>
      </c>
      <c r="AZ163" s="102">
        <f t="shared" si="32"/>
        <v>101690.25</v>
      </c>
      <c r="BA163" s="102">
        <f t="shared" si="32"/>
        <v>0</v>
      </c>
      <c r="BB163" s="102">
        <f t="shared" si="32"/>
        <v>25242.39</v>
      </c>
      <c r="BC163" s="102"/>
      <c r="BD163" s="102">
        <f t="shared" si="32"/>
        <v>238773.54</v>
      </c>
      <c r="BE163" s="4"/>
      <c r="BF163" s="102">
        <f t="shared" si="32"/>
        <v>31567.85</v>
      </c>
      <c r="BG163" s="4"/>
      <c r="BH163" s="102">
        <f t="shared" si="32"/>
        <v>32153.25</v>
      </c>
      <c r="BI163" s="4"/>
      <c r="BJ163" s="102">
        <f t="shared" si="32"/>
        <v>2972</v>
      </c>
      <c r="BK163" s="4"/>
      <c r="BL163" s="102">
        <f t="shared" si="32"/>
        <v>92476</v>
      </c>
      <c r="BM163" s="4"/>
      <c r="BN163" s="102">
        <f t="shared" si="32"/>
        <v>1531162.9100000001</v>
      </c>
      <c r="BO163" s="4"/>
      <c r="BP163" s="102">
        <f t="shared" ref="BP163:BV163" si="33">SUM(BP157:BP162)</f>
        <v>388143</v>
      </c>
      <c r="BQ163" s="4"/>
      <c r="BR163" s="102">
        <f t="shared" si="33"/>
        <v>0</v>
      </c>
      <c r="BS163" s="102">
        <f t="shared" si="33"/>
        <v>0</v>
      </c>
      <c r="BT163" s="102">
        <f t="shared" si="33"/>
        <v>1531162.9100000001</v>
      </c>
      <c r="BU163" s="102">
        <f t="shared" si="33"/>
        <v>0</v>
      </c>
      <c r="BV163" s="102">
        <f t="shared" si="33"/>
        <v>-1316569.9099999999</v>
      </c>
      <c r="BW163" s="9"/>
      <c r="BX163" s="4"/>
      <c r="BY163" s="4"/>
      <c r="BZ163" s="4"/>
      <c r="CA163" s="4"/>
      <c r="CB163" s="4"/>
      <c r="CC163" s="4"/>
      <c r="CD163" s="4"/>
      <c r="CE163" s="4"/>
      <c r="CF163" s="4"/>
      <c r="CG163" s="4"/>
      <c r="CH163" s="4"/>
      <c r="CI163" s="4"/>
      <c r="CJ163" s="4"/>
      <c r="CK163" s="4"/>
      <c r="CL163" s="4"/>
      <c r="CM163" s="4"/>
      <c r="CN163" s="4"/>
      <c r="CO163" s="4"/>
      <c r="CP163" s="4"/>
      <c r="CQ163" s="4"/>
      <c r="CR163" s="4"/>
      <c r="CS163" s="4"/>
      <c r="CT163" s="4"/>
      <c r="CU163" s="4"/>
      <c r="CV163" s="4"/>
      <c r="CW163" s="4"/>
      <c r="CX163" s="4"/>
      <c r="CY163" s="4"/>
      <c r="CZ163" s="4"/>
      <c r="DA163" s="4"/>
      <c r="DB163" s="4"/>
      <c r="DC163" s="4"/>
      <c r="DD163" s="4"/>
      <c r="DE163" s="4"/>
      <c r="DF163" s="4"/>
      <c r="DG163" s="4"/>
      <c r="DH163" s="4"/>
      <c r="DI163" s="4"/>
      <c r="DJ163" s="4"/>
      <c r="DK163" s="4"/>
      <c r="DL163" s="4"/>
      <c r="DM163" s="4"/>
      <c r="DN163" s="4"/>
      <c r="DO163" s="4"/>
      <c r="DP163" s="4"/>
      <c r="DQ163" s="4"/>
      <c r="DR163" s="4"/>
      <c r="DS163" s="4"/>
      <c r="DT163" s="4"/>
    </row>
    <row r="164" spans="1:124" s="21" customFormat="1">
      <c r="A164" s="58"/>
      <c r="B164" s="31"/>
      <c r="J164" s="8"/>
      <c r="L164" s="141"/>
      <c r="M164" s="9"/>
      <c r="N164" s="10"/>
      <c r="O164" s="9"/>
      <c r="P164" s="10"/>
      <c r="Q164" s="9"/>
      <c r="R164" s="10"/>
      <c r="S164" s="9"/>
      <c r="T164" s="10"/>
      <c r="U164" s="9"/>
      <c r="V164" s="10"/>
      <c r="W164" s="9"/>
      <c r="X164" s="10"/>
      <c r="Y164" s="9"/>
      <c r="Z164" s="10"/>
      <c r="AA164" s="9"/>
      <c r="AB164" s="10"/>
      <c r="AC164" s="9"/>
      <c r="AD164" s="10"/>
      <c r="AE164" s="9"/>
      <c r="AF164" s="10"/>
      <c r="AG164" s="9"/>
      <c r="AH164" s="10"/>
      <c r="AI164" s="4"/>
      <c r="AJ164" s="10"/>
      <c r="AK164" s="4"/>
      <c r="AL164" s="10"/>
      <c r="AM164" s="4"/>
      <c r="AN164" s="10"/>
      <c r="AO164" s="9"/>
      <c r="AP164" s="10"/>
      <c r="AQ164" s="9"/>
      <c r="AR164" s="10"/>
      <c r="AS164" s="9"/>
      <c r="AT164" s="10"/>
      <c r="AU164" s="10"/>
      <c r="AV164" s="10"/>
      <c r="AW164" s="10"/>
      <c r="AX164" s="10"/>
      <c r="AY164" s="10"/>
      <c r="AZ164" s="10"/>
      <c r="BA164" s="10"/>
      <c r="BB164" s="10"/>
      <c r="BC164" s="10"/>
      <c r="BD164" s="10"/>
      <c r="BE164" s="4"/>
      <c r="BF164" s="10"/>
      <c r="BG164" s="4"/>
      <c r="BH164" s="10"/>
      <c r="BI164" s="4"/>
      <c r="BJ164" s="10"/>
      <c r="BK164" s="4"/>
      <c r="BL164" s="10"/>
      <c r="BM164" s="4"/>
      <c r="BN164" s="10"/>
      <c r="BO164" s="4"/>
      <c r="BP164" s="10"/>
      <c r="BQ164" s="4"/>
      <c r="BR164" s="10"/>
      <c r="BS164" s="9"/>
      <c r="BT164" s="10"/>
      <c r="BU164" s="9"/>
      <c r="BV164" s="10"/>
      <c r="BW164" s="9"/>
      <c r="BX164" s="4"/>
      <c r="BY164" s="4"/>
      <c r="BZ164" s="4"/>
      <c r="CA164" s="4"/>
      <c r="CB164" s="4"/>
      <c r="CC164" s="4"/>
      <c r="CD164" s="4"/>
      <c r="CE164" s="4"/>
      <c r="CF164" s="4"/>
      <c r="CG164" s="4"/>
      <c r="CH164" s="4"/>
      <c r="CI164" s="4"/>
      <c r="CJ164" s="4"/>
      <c r="CK164" s="4"/>
      <c r="CL164" s="4"/>
      <c r="CM164" s="4"/>
      <c r="CN164" s="4"/>
      <c r="CO164" s="4"/>
      <c r="CP164" s="4"/>
      <c r="CQ164" s="4"/>
      <c r="CR164" s="4"/>
      <c r="CS164" s="4"/>
      <c r="CT164" s="4"/>
      <c r="CU164" s="4"/>
      <c r="CV164" s="4"/>
      <c r="CW164" s="4"/>
      <c r="CX164" s="4"/>
      <c r="CY164" s="4"/>
      <c r="CZ164" s="4"/>
      <c r="DA164" s="4"/>
      <c r="DB164" s="4"/>
      <c r="DC164" s="4"/>
      <c r="DD164" s="4"/>
      <c r="DE164" s="4"/>
      <c r="DF164" s="4"/>
      <c r="DG164" s="4"/>
      <c r="DH164" s="4"/>
      <c r="DI164" s="4"/>
      <c r="DJ164" s="4"/>
      <c r="DK164" s="4"/>
      <c r="DL164" s="4"/>
      <c r="DM164" s="4"/>
      <c r="DN164" s="4"/>
      <c r="DO164" s="4"/>
      <c r="DP164" s="4"/>
      <c r="DQ164" s="4"/>
      <c r="DR164" s="4"/>
      <c r="DS164" s="4"/>
      <c r="DT164" s="4"/>
    </row>
    <row r="165" spans="1:124">
      <c r="A165" s="58" t="s">
        <v>35</v>
      </c>
      <c r="B165" s="11"/>
      <c r="E165" s="4"/>
      <c r="G165" s="4"/>
      <c r="I165" s="4"/>
      <c r="L165" s="138"/>
      <c r="M165" s="6"/>
      <c r="O165" s="6"/>
      <c r="Q165" s="6"/>
      <c r="S165" s="6"/>
      <c r="T165" s="6"/>
      <c r="U165" s="12"/>
      <c r="V165" s="6"/>
      <c r="W165" s="12"/>
      <c r="X165" s="6"/>
      <c r="Y165" s="12"/>
      <c r="Z165" s="6"/>
      <c r="AA165" s="12"/>
      <c r="AB165" s="6"/>
      <c r="AC165" s="12"/>
      <c r="AD165" s="6"/>
      <c r="AE165" s="12"/>
      <c r="AG165" s="12"/>
      <c r="AI165" s="4"/>
      <c r="AO165" s="12"/>
      <c r="AQ165" s="12"/>
      <c r="AS165" s="12"/>
      <c r="BJ165" s="6"/>
      <c r="BL165" s="6"/>
      <c r="BP165" s="6"/>
      <c r="BW165" s="12"/>
    </row>
    <row r="166" spans="1:124" s="11" customFormat="1">
      <c r="A166" s="17"/>
      <c r="B166" s="11" t="s">
        <v>37</v>
      </c>
      <c r="J166" s="157"/>
      <c r="L166" s="144" t="s">
        <v>203</v>
      </c>
      <c r="M166" s="12"/>
      <c r="N166" s="12">
        <v>0</v>
      </c>
      <c r="O166" s="12"/>
      <c r="P166" s="12">
        <f>300000-5511</f>
        <v>294489</v>
      </c>
      <c r="Q166" s="12"/>
      <c r="R166" s="6">
        <v>6751</v>
      </c>
      <c r="S166" s="12"/>
      <c r="T166" s="12">
        <v>0</v>
      </c>
      <c r="U166" s="12"/>
      <c r="V166" s="12">
        <v>0</v>
      </c>
      <c r="W166" s="12"/>
      <c r="X166" s="12">
        <v>0</v>
      </c>
      <c r="Y166" s="12"/>
      <c r="Z166" s="12">
        <v>0</v>
      </c>
      <c r="AA166" s="12"/>
      <c r="AB166" s="12">
        <v>0</v>
      </c>
      <c r="AC166" s="12"/>
      <c r="AD166" s="12">
        <v>605</v>
      </c>
      <c r="AE166" s="12"/>
      <c r="AF166" s="12">
        <v>0</v>
      </c>
      <c r="AG166" s="12"/>
      <c r="AH166" s="12">
        <v>0</v>
      </c>
      <c r="AI166" s="4"/>
      <c r="AJ166" s="12">
        <v>0</v>
      </c>
      <c r="AK166" s="4"/>
      <c r="AL166" s="12">
        <v>0</v>
      </c>
      <c r="AM166" s="4"/>
      <c r="AN166" s="12">
        <v>0</v>
      </c>
      <c r="AO166" s="12"/>
      <c r="AP166" s="12">
        <v>0</v>
      </c>
      <c r="AQ166" s="12"/>
      <c r="AR166" s="12">
        <v>0</v>
      </c>
      <c r="AS166" s="12"/>
      <c r="AT166" s="12">
        <v>0</v>
      </c>
      <c r="AU166" s="12"/>
      <c r="AV166" s="12">
        <v>0</v>
      </c>
      <c r="AW166" s="12"/>
      <c r="AX166" s="12">
        <v>0</v>
      </c>
      <c r="AY166" s="12"/>
      <c r="AZ166" s="12">
        <v>0</v>
      </c>
      <c r="BA166" s="12"/>
      <c r="BB166" s="12">
        <v>0</v>
      </c>
      <c r="BC166" s="12"/>
      <c r="BD166" s="12">
        <v>0</v>
      </c>
      <c r="BE166" s="4"/>
      <c r="BF166" s="12">
        <v>0</v>
      </c>
      <c r="BG166" s="4"/>
      <c r="BH166" s="12">
        <v>0</v>
      </c>
      <c r="BI166" s="4"/>
      <c r="BJ166" s="12">
        <v>0</v>
      </c>
      <c r="BK166" s="4"/>
      <c r="BL166" s="12">
        <v>0</v>
      </c>
      <c r="BM166" s="4"/>
      <c r="BN166" s="12">
        <f>SUM(T166:BM166)</f>
        <v>605</v>
      </c>
      <c r="BO166" s="4"/>
      <c r="BP166" s="12">
        <v>0</v>
      </c>
      <c r="BQ166" s="4"/>
      <c r="BR166" s="6">
        <f>IF(+R166-BN166+BP166&gt;0,R166-BN166+BP166,0)</f>
        <v>6146</v>
      </c>
      <c r="BS166" s="12"/>
      <c r="BT166" s="6">
        <f>+BN166+BR166</f>
        <v>6751</v>
      </c>
      <c r="BU166" s="12"/>
      <c r="BV166" s="6">
        <f>+R166-BT166</f>
        <v>0</v>
      </c>
      <c r="BW166" s="12"/>
      <c r="BX166" s="4"/>
      <c r="BY166" s="4"/>
      <c r="BZ166" s="4"/>
      <c r="CA166" s="4"/>
      <c r="CB166" s="4"/>
      <c r="CC166" s="4"/>
      <c r="CD166" s="4"/>
      <c r="CE166" s="4"/>
      <c r="CF166" s="4"/>
      <c r="CG166" s="4"/>
      <c r="CH166" s="4"/>
      <c r="CI166" s="4"/>
      <c r="CJ166" s="4"/>
      <c r="CK166" s="4"/>
      <c r="CL166" s="4"/>
      <c r="CM166" s="4"/>
      <c r="CN166" s="4"/>
      <c r="CO166" s="4"/>
      <c r="CP166" s="4"/>
      <c r="CQ166" s="4"/>
      <c r="CR166" s="4"/>
      <c r="CS166" s="4"/>
      <c r="CT166" s="4"/>
      <c r="CU166" s="4"/>
      <c r="CV166" s="4"/>
      <c r="CW166" s="4"/>
      <c r="CX166" s="4"/>
      <c r="CY166" s="4"/>
      <c r="CZ166" s="4"/>
      <c r="DA166" s="4"/>
      <c r="DB166" s="4"/>
      <c r="DC166" s="4"/>
      <c r="DD166" s="4"/>
      <c r="DE166" s="4"/>
      <c r="DF166" s="4"/>
      <c r="DG166" s="4"/>
      <c r="DH166" s="4"/>
      <c r="DI166" s="4"/>
      <c r="DJ166" s="4"/>
      <c r="DK166" s="4"/>
      <c r="DL166" s="4"/>
      <c r="DM166" s="4"/>
      <c r="DN166" s="4"/>
      <c r="DO166" s="4"/>
      <c r="DP166" s="4"/>
      <c r="DQ166" s="4"/>
      <c r="DR166" s="4"/>
      <c r="DS166" s="4"/>
      <c r="DT166" s="4"/>
    </row>
    <row r="167" spans="1:124" s="11" customFormat="1">
      <c r="A167" s="17"/>
      <c r="B167" s="11" t="s">
        <v>339</v>
      </c>
      <c r="J167" s="157"/>
      <c r="L167" s="144"/>
      <c r="M167" s="12"/>
      <c r="N167" s="12"/>
      <c r="O167" s="12"/>
      <c r="P167" s="12"/>
      <c r="Q167" s="12"/>
      <c r="R167" s="6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4"/>
      <c r="AJ167" s="12"/>
      <c r="AK167" s="4"/>
      <c r="AL167" s="12"/>
      <c r="AM167" s="4"/>
      <c r="AN167" s="12"/>
      <c r="AO167" s="12"/>
      <c r="AP167" s="12"/>
      <c r="AQ167" s="12"/>
      <c r="AR167" s="12">
        <v>252208.46</v>
      </c>
      <c r="AS167" s="12"/>
      <c r="AT167" s="12">
        <v>49463.67</v>
      </c>
      <c r="AU167" s="12"/>
      <c r="AV167" s="12"/>
      <c r="AW167" s="12"/>
      <c r="AX167" s="12"/>
      <c r="AY167" s="12"/>
      <c r="AZ167" s="12"/>
      <c r="BA167" s="12"/>
      <c r="BB167" s="12"/>
      <c r="BC167" s="12"/>
      <c r="BD167" s="12"/>
      <c r="BE167" s="4"/>
      <c r="BF167" s="12"/>
      <c r="BG167" s="4"/>
      <c r="BH167" s="12"/>
      <c r="BI167" s="4"/>
      <c r="BJ167" s="12"/>
      <c r="BK167" s="4"/>
      <c r="BL167" s="12"/>
      <c r="BM167" s="4"/>
      <c r="BN167" s="12">
        <f>SUM(T167:BM167)</f>
        <v>301672.13</v>
      </c>
      <c r="BO167" s="4"/>
      <c r="BP167" s="12">
        <v>0</v>
      </c>
      <c r="BQ167" s="4"/>
      <c r="BR167" s="6">
        <f>IF(+R167-BN167+BP167&gt;0,R167-BN167+BP167,0)</f>
        <v>0</v>
      </c>
      <c r="BS167" s="12"/>
      <c r="BT167" s="6">
        <f>+BN167+BR167</f>
        <v>301672.13</v>
      </c>
      <c r="BU167" s="12"/>
      <c r="BV167" s="6">
        <f>+R167-BT167</f>
        <v>-301672.13</v>
      </c>
      <c r="BW167" s="12"/>
      <c r="BX167" s="4"/>
      <c r="BY167" s="4"/>
      <c r="BZ167" s="4"/>
      <c r="CA167" s="4"/>
      <c r="CB167" s="4"/>
      <c r="CC167" s="4"/>
      <c r="CD167" s="4"/>
      <c r="CE167" s="4"/>
      <c r="CF167" s="4"/>
      <c r="CG167" s="4"/>
      <c r="CH167" s="4"/>
      <c r="CI167" s="4"/>
      <c r="CJ167" s="4"/>
      <c r="CK167" s="4"/>
      <c r="CL167" s="4"/>
      <c r="CM167" s="4"/>
      <c r="CN167" s="4"/>
      <c r="CO167" s="4"/>
      <c r="CP167" s="4"/>
      <c r="CQ167" s="4"/>
      <c r="CR167" s="4"/>
      <c r="CS167" s="4"/>
      <c r="CT167" s="4"/>
      <c r="CU167" s="4"/>
      <c r="CV167" s="4"/>
      <c r="CW167" s="4"/>
      <c r="CX167" s="4"/>
      <c r="CY167" s="4"/>
      <c r="CZ167" s="4"/>
      <c r="DA167" s="4"/>
      <c r="DB167" s="4"/>
      <c r="DC167" s="4"/>
      <c r="DD167" s="4"/>
      <c r="DE167" s="4"/>
      <c r="DF167" s="4"/>
      <c r="DG167" s="4"/>
      <c r="DH167" s="4"/>
      <c r="DI167" s="4"/>
      <c r="DJ167" s="4"/>
      <c r="DK167" s="4"/>
      <c r="DL167" s="4"/>
      <c r="DM167" s="4"/>
      <c r="DN167" s="4"/>
      <c r="DO167" s="4"/>
      <c r="DP167" s="4"/>
      <c r="DQ167" s="4"/>
      <c r="DR167" s="4"/>
      <c r="DS167" s="4"/>
      <c r="DT167" s="4"/>
    </row>
    <row r="168" spans="1:124" s="11" customFormat="1">
      <c r="A168" s="17"/>
      <c r="B168" s="11" t="s">
        <v>121</v>
      </c>
      <c r="J168" s="157"/>
      <c r="L168" s="144" t="s">
        <v>203</v>
      </c>
      <c r="M168" s="12"/>
      <c r="N168" s="12">
        <v>500000</v>
      </c>
      <c r="O168" s="12"/>
      <c r="P168" s="12">
        <v>-300000</v>
      </c>
      <c r="Q168" s="12"/>
      <c r="R168" s="6">
        <v>250000</v>
      </c>
      <c r="S168" s="12"/>
      <c r="T168" s="12">
        <v>0</v>
      </c>
      <c r="U168" s="12"/>
      <c r="V168" s="12">
        <v>0</v>
      </c>
      <c r="W168" s="12"/>
      <c r="X168" s="12">
        <v>0</v>
      </c>
      <c r="Y168" s="12"/>
      <c r="Z168" s="12">
        <v>0</v>
      </c>
      <c r="AA168" s="12"/>
      <c r="AB168" s="12"/>
      <c r="AC168" s="12"/>
      <c r="AD168" s="12"/>
      <c r="AE168" s="12"/>
      <c r="AF168" s="12">
        <v>0</v>
      </c>
      <c r="AG168" s="12"/>
      <c r="AH168" s="12">
        <v>21422.91</v>
      </c>
      <c r="AI168" s="4"/>
      <c r="AJ168" s="12">
        <v>0</v>
      </c>
      <c r="AK168" s="4"/>
      <c r="AL168" s="12">
        <v>75</v>
      </c>
      <c r="AM168" s="4"/>
      <c r="AN168" s="12">
        <v>6749.05</v>
      </c>
      <c r="AO168" s="12"/>
      <c r="AP168" s="12">
        <v>4454.9799999999996</v>
      </c>
      <c r="AQ168" s="12"/>
      <c r="AR168" s="12">
        <v>0</v>
      </c>
      <c r="AS168" s="12"/>
      <c r="AT168" s="12">
        <v>0</v>
      </c>
      <c r="AU168" s="12"/>
      <c r="AV168" s="12">
        <v>0</v>
      </c>
      <c r="AW168" s="12"/>
      <c r="AX168" s="12">
        <v>10000</v>
      </c>
      <c r="AY168" s="12"/>
      <c r="AZ168" s="12">
        <v>0</v>
      </c>
      <c r="BA168" s="12"/>
      <c r="BB168" s="12">
        <v>0</v>
      </c>
      <c r="BC168" s="12"/>
      <c r="BD168" s="12">
        <f>105510.2+158699.47</f>
        <v>264209.67</v>
      </c>
      <c r="BE168" s="4"/>
      <c r="BF168" s="12">
        <v>0</v>
      </c>
      <c r="BG168" s="4"/>
      <c r="BH168" s="12">
        <v>0</v>
      </c>
      <c r="BI168" s="4"/>
      <c r="BJ168" s="12">
        <v>0</v>
      </c>
      <c r="BK168" s="4"/>
      <c r="BL168" s="12">
        <v>0</v>
      </c>
      <c r="BM168" s="4"/>
      <c r="BN168" s="12">
        <f>SUM(T168:BM168)</f>
        <v>306911.61</v>
      </c>
      <c r="BO168" s="4"/>
      <c r="BP168" s="12">
        <v>9703</v>
      </c>
      <c r="BQ168" s="4"/>
      <c r="BR168" s="6">
        <f>IF(+R168-BN168+BP168&gt;0,R168-BN168+BP168,0)</f>
        <v>0</v>
      </c>
      <c r="BS168" s="12"/>
      <c r="BT168" s="6">
        <f>BR168+BP168+BN168</f>
        <v>316614.61</v>
      </c>
      <c r="BU168" s="12"/>
      <c r="BV168" s="6">
        <f>+R168-BT168</f>
        <v>-66614.609999999986</v>
      </c>
      <c r="BW168" s="12"/>
      <c r="BX168" s="4"/>
      <c r="BY168" s="4"/>
      <c r="BZ168" s="4"/>
      <c r="CA168" s="4"/>
      <c r="CB168" s="4"/>
      <c r="CC168" s="4"/>
      <c r="CD168" s="4"/>
      <c r="CE168" s="4"/>
      <c r="CF168" s="4"/>
      <c r="CG168" s="4"/>
      <c r="CH168" s="4"/>
      <c r="CI168" s="4"/>
      <c r="CJ168" s="4"/>
      <c r="CK168" s="4"/>
      <c r="CL168" s="4"/>
      <c r="CM168" s="4"/>
      <c r="CN168" s="4"/>
      <c r="CO168" s="4"/>
      <c r="CP168" s="4"/>
      <c r="CQ168" s="4"/>
      <c r="CR168" s="4"/>
      <c r="CS168" s="4"/>
      <c r="CT168" s="4"/>
      <c r="CU168" s="4"/>
      <c r="CV168" s="4"/>
      <c r="CW168" s="4"/>
      <c r="CX168" s="4"/>
      <c r="CY168" s="4"/>
      <c r="CZ168" s="4"/>
      <c r="DA168" s="4"/>
      <c r="DB168" s="4"/>
      <c r="DC168" s="4"/>
      <c r="DD168" s="4"/>
      <c r="DE168" s="4"/>
      <c r="DF168" s="4"/>
      <c r="DG168" s="4"/>
      <c r="DH168" s="4"/>
      <c r="DI168" s="4"/>
      <c r="DJ168" s="4"/>
      <c r="DK168" s="4"/>
      <c r="DL168" s="4"/>
      <c r="DM168" s="4"/>
      <c r="DN168" s="4"/>
      <c r="DO168" s="4"/>
      <c r="DP168" s="4"/>
      <c r="DQ168" s="4"/>
      <c r="DR168" s="4"/>
      <c r="DS168" s="4"/>
      <c r="DT168" s="4"/>
    </row>
    <row r="169" spans="1:124" s="11" customFormat="1">
      <c r="A169" s="17"/>
      <c r="J169" s="157"/>
      <c r="L169" s="144"/>
      <c r="M169" s="12"/>
      <c r="N169" s="12"/>
      <c r="O169" s="12"/>
      <c r="P169" s="12">
        <v>5511</v>
      </c>
      <c r="Q169" s="12"/>
      <c r="R169" s="6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4"/>
      <c r="AJ169" s="12"/>
      <c r="AK169" s="4"/>
      <c r="AL169" s="12"/>
      <c r="AM169" s="4"/>
      <c r="AN169" s="12"/>
      <c r="AO169" s="12"/>
      <c r="AP169" s="12"/>
      <c r="AQ169" s="12"/>
      <c r="AR169" s="12"/>
      <c r="AS169" s="12"/>
      <c r="AT169" s="12"/>
      <c r="AU169" s="12"/>
      <c r="AV169" s="12"/>
      <c r="AW169" s="12"/>
      <c r="AX169" s="12"/>
      <c r="AY169" s="12"/>
      <c r="AZ169" s="12"/>
      <c r="BA169" s="12"/>
      <c r="BB169" s="12"/>
      <c r="BC169" s="12"/>
      <c r="BD169" s="12"/>
      <c r="BE169" s="4"/>
      <c r="BF169" s="12"/>
      <c r="BG169" s="4"/>
      <c r="BH169" s="12"/>
      <c r="BI169" s="4"/>
      <c r="BJ169" s="12"/>
      <c r="BK169" s="4"/>
      <c r="BL169" s="12"/>
      <c r="BM169" s="4"/>
      <c r="BN169" s="12">
        <f>SUM(T169:BM169)</f>
        <v>0</v>
      </c>
      <c r="BO169" s="4"/>
      <c r="BP169" s="12">
        <v>0</v>
      </c>
      <c r="BQ169" s="4"/>
      <c r="BR169" s="6">
        <f>IF(+R169-BN169+BP169&gt;0,R169-BN169+BP169,0)</f>
        <v>0</v>
      </c>
      <c r="BS169" s="12"/>
      <c r="BT169" s="6">
        <f>+BN169+BR169</f>
        <v>0</v>
      </c>
      <c r="BU169" s="12"/>
      <c r="BV169" s="6">
        <f>+R169-BT169</f>
        <v>0</v>
      </c>
      <c r="BW169" s="12"/>
      <c r="BX169" s="4"/>
      <c r="BY169" s="4"/>
      <c r="BZ169" s="4"/>
      <c r="CA169" s="4"/>
      <c r="CB169" s="4"/>
      <c r="CC169" s="4"/>
      <c r="CD169" s="4"/>
      <c r="CE169" s="4"/>
      <c r="CF169" s="4"/>
      <c r="CG169" s="4"/>
      <c r="CH169" s="4"/>
      <c r="CI169" s="4"/>
      <c r="CJ169" s="4"/>
      <c r="CK169" s="4"/>
      <c r="CL169" s="4"/>
      <c r="CM169" s="4"/>
      <c r="CN169" s="4"/>
      <c r="CO169" s="4"/>
      <c r="CP169" s="4"/>
      <c r="CQ169" s="4"/>
      <c r="CR169" s="4"/>
      <c r="CS169" s="4"/>
      <c r="CT169" s="4"/>
      <c r="CU169" s="4"/>
      <c r="CV169" s="4"/>
      <c r="CW169" s="4"/>
      <c r="CX169" s="4"/>
      <c r="CY169" s="4"/>
      <c r="CZ169" s="4"/>
      <c r="DA169" s="4"/>
      <c r="DB169" s="4"/>
      <c r="DC169" s="4"/>
      <c r="DD169" s="4"/>
      <c r="DE169" s="4"/>
      <c r="DF169" s="4"/>
      <c r="DG169" s="4"/>
      <c r="DH169" s="4"/>
      <c r="DI169" s="4"/>
      <c r="DJ169" s="4"/>
      <c r="DK169" s="4"/>
      <c r="DL169" s="4"/>
      <c r="DM169" s="4"/>
      <c r="DN169" s="4"/>
      <c r="DO169" s="4"/>
      <c r="DP169" s="4"/>
      <c r="DQ169" s="4"/>
      <c r="DR169" s="4"/>
      <c r="DS169" s="4"/>
      <c r="DT169" s="4"/>
    </row>
    <row r="170" spans="1:124" s="21" customFormat="1">
      <c r="A170" s="58"/>
      <c r="B170" s="31" t="s">
        <v>41</v>
      </c>
      <c r="J170" s="8"/>
      <c r="L170" s="141"/>
      <c r="M170" s="9"/>
      <c r="N170" s="102">
        <f>SUM(N166:N169)</f>
        <v>500000</v>
      </c>
      <c r="O170" s="102">
        <f>SUM(O166:O169)</f>
        <v>0</v>
      </c>
      <c r="P170" s="102">
        <f>SUM(P166:P169)</f>
        <v>0</v>
      </c>
      <c r="Q170" s="102">
        <f>SUM(Q166:Q169)</f>
        <v>0</v>
      </c>
      <c r="R170" s="102">
        <f>SUM(R166:R169)</f>
        <v>256751</v>
      </c>
      <c r="S170" s="9"/>
      <c r="T170" s="102">
        <f>SUM(T166:T169)</f>
        <v>0</v>
      </c>
      <c r="U170" s="9"/>
      <c r="V170" s="102">
        <f>SUM(V166:V169)</f>
        <v>0</v>
      </c>
      <c r="W170" s="9"/>
      <c r="X170" s="102">
        <f>SUM(X166:X169)</f>
        <v>0</v>
      </c>
      <c r="Y170" s="9"/>
      <c r="Z170" s="102">
        <f>SUM(Z166:Z169)</f>
        <v>0</v>
      </c>
      <c r="AA170" s="9"/>
      <c r="AB170" s="102">
        <f>SUM(AB166:AB169)</f>
        <v>0</v>
      </c>
      <c r="AC170" s="9"/>
      <c r="AD170" s="102">
        <f>SUM(AD166:AD169)</f>
        <v>605</v>
      </c>
      <c r="AE170" s="9"/>
      <c r="AF170" s="102">
        <f>SUM(AF166:AF169)</f>
        <v>0</v>
      </c>
      <c r="AG170" s="9"/>
      <c r="AH170" s="102">
        <f>SUM(AH166:AH169)</f>
        <v>21422.91</v>
      </c>
      <c r="AI170" s="4"/>
      <c r="AJ170" s="102">
        <f>SUM(AJ166:AJ169)</f>
        <v>0</v>
      </c>
      <c r="AK170" s="4"/>
      <c r="AL170" s="102">
        <f>SUM(AL166:AL169)</f>
        <v>75</v>
      </c>
      <c r="AM170" s="4"/>
      <c r="AN170" s="102">
        <f>SUM(AN166:AN169)</f>
        <v>6749.05</v>
      </c>
      <c r="AO170" s="9"/>
      <c r="AP170" s="102">
        <f>SUM(AP166:AP169)</f>
        <v>4454.9799999999996</v>
      </c>
      <c r="AQ170" s="9"/>
      <c r="AR170" s="102">
        <f>SUM(AR166:AR169)</f>
        <v>252208.46</v>
      </c>
      <c r="AS170" s="9"/>
      <c r="AT170" s="102">
        <f>SUM(AT166:AT169)</f>
        <v>49463.67</v>
      </c>
      <c r="AU170" s="10"/>
      <c r="AV170" s="102">
        <f>SUM(AV166:AV169)</f>
        <v>0</v>
      </c>
      <c r="AW170" s="10"/>
      <c r="AX170" s="102">
        <f>SUM(AX166:AX169)</f>
        <v>10000</v>
      </c>
      <c r="AY170" s="10"/>
      <c r="AZ170" s="102">
        <f>SUM(AZ166:AZ169)</f>
        <v>0</v>
      </c>
      <c r="BA170" s="10"/>
      <c r="BB170" s="102">
        <f>SUM(BB166:BB169)</f>
        <v>0</v>
      </c>
      <c r="BC170" s="10"/>
      <c r="BD170" s="102">
        <f>SUM(BD166:BD169)</f>
        <v>264209.67</v>
      </c>
      <c r="BE170" s="4"/>
      <c r="BF170" s="102">
        <f>SUM(BF166:BF169)</f>
        <v>0</v>
      </c>
      <c r="BG170" s="4"/>
      <c r="BH170" s="102">
        <f>SUM(BH166:BH169)</f>
        <v>0</v>
      </c>
      <c r="BI170" s="4"/>
      <c r="BJ170" s="102">
        <f>SUM(BJ166:BJ169)</f>
        <v>0</v>
      </c>
      <c r="BK170" s="4"/>
      <c r="BL170" s="102">
        <f>SUM(BL166:BL169)</f>
        <v>0</v>
      </c>
      <c r="BM170" s="4"/>
      <c r="BN170" s="102">
        <f>SUM(BN166:BN169)</f>
        <v>609188.74</v>
      </c>
      <c r="BO170" s="4"/>
      <c r="BP170" s="102">
        <f>SUM(BP166:BP169)</f>
        <v>9703</v>
      </c>
      <c r="BQ170" s="4"/>
      <c r="BR170" s="102">
        <f>SUM(BR166:BR169)</f>
        <v>6146</v>
      </c>
      <c r="BS170" s="9"/>
      <c r="BT170" s="102">
        <f>SUM(BT166:BT169)</f>
        <v>625037.74</v>
      </c>
      <c r="BU170" s="9"/>
      <c r="BV170" s="102">
        <f>SUM(BV166:BV169)</f>
        <v>-368286.74</v>
      </c>
      <c r="BW170" s="9"/>
      <c r="BX170" s="4"/>
      <c r="BY170" s="4"/>
      <c r="BZ170" s="4"/>
      <c r="CA170" s="4"/>
      <c r="CB170" s="4"/>
      <c r="CC170" s="4"/>
      <c r="CD170" s="4"/>
      <c r="CE170" s="4"/>
      <c r="CF170" s="4"/>
      <c r="CG170" s="4"/>
      <c r="CH170" s="4"/>
      <c r="CI170" s="4"/>
      <c r="CJ170" s="4"/>
      <c r="CK170" s="4"/>
      <c r="CL170" s="4"/>
      <c r="CM170" s="4"/>
      <c r="CN170" s="4"/>
      <c r="CO170" s="4"/>
      <c r="CP170" s="4"/>
      <c r="CQ170" s="4"/>
      <c r="CR170" s="4"/>
      <c r="CS170" s="4"/>
      <c r="CT170" s="4"/>
      <c r="CU170" s="4"/>
      <c r="CV170" s="4"/>
      <c r="CW170" s="4"/>
      <c r="CX170" s="4"/>
      <c r="CY170" s="4"/>
      <c r="CZ170" s="4"/>
      <c r="DA170" s="4"/>
      <c r="DB170" s="4"/>
      <c r="DC170" s="4"/>
      <c r="DD170" s="4"/>
      <c r="DE170" s="4"/>
      <c r="DF170" s="4"/>
      <c r="DG170" s="4"/>
      <c r="DH170" s="4"/>
      <c r="DI170" s="4"/>
      <c r="DJ170" s="4"/>
      <c r="DK170" s="4"/>
      <c r="DL170" s="4"/>
      <c r="DM170" s="4"/>
      <c r="DN170" s="4"/>
      <c r="DO170" s="4"/>
      <c r="DP170" s="4"/>
      <c r="DQ170" s="4"/>
      <c r="DR170" s="4"/>
      <c r="DS170" s="4"/>
      <c r="DT170" s="4"/>
    </row>
    <row r="171" spans="1:124" s="21" customFormat="1">
      <c r="A171" s="58"/>
      <c r="B171" s="31"/>
      <c r="J171" s="8"/>
      <c r="L171" s="141"/>
      <c r="M171" s="9"/>
      <c r="N171" s="10"/>
      <c r="O171" s="10"/>
      <c r="P171" s="10"/>
      <c r="Q171" s="10"/>
      <c r="R171" s="10"/>
      <c r="S171" s="9"/>
      <c r="T171" s="10"/>
      <c r="U171" s="9"/>
      <c r="V171" s="10"/>
      <c r="W171" s="9"/>
      <c r="X171" s="10"/>
      <c r="Y171" s="9"/>
      <c r="Z171" s="10"/>
      <c r="AA171" s="9"/>
      <c r="AB171" s="10"/>
      <c r="AC171" s="9"/>
      <c r="AD171" s="10"/>
      <c r="AE171" s="9"/>
      <c r="AF171" s="10"/>
      <c r="AG171" s="9"/>
      <c r="AH171" s="10"/>
      <c r="AI171" s="4"/>
      <c r="AJ171" s="10"/>
      <c r="AK171" s="4"/>
      <c r="AL171" s="10"/>
      <c r="AM171" s="4"/>
      <c r="AN171" s="10"/>
      <c r="AO171" s="9"/>
      <c r="AP171" s="10"/>
      <c r="AQ171" s="9"/>
      <c r="AR171" s="10"/>
      <c r="AS171" s="9"/>
      <c r="AT171" s="10"/>
      <c r="AU171" s="10"/>
      <c r="AV171" s="10"/>
      <c r="AW171" s="10"/>
      <c r="AX171" s="10"/>
      <c r="AY171" s="10"/>
      <c r="AZ171" s="10"/>
      <c r="BA171" s="10"/>
      <c r="BB171" s="10"/>
      <c r="BC171" s="10"/>
      <c r="BD171" s="10"/>
      <c r="BE171" s="4"/>
      <c r="BF171" s="10"/>
      <c r="BG171" s="4"/>
      <c r="BH171" s="10"/>
      <c r="BI171" s="4"/>
      <c r="BJ171" s="10"/>
      <c r="BK171" s="4"/>
      <c r="BL171" s="10"/>
      <c r="BM171" s="4"/>
      <c r="BN171" s="10"/>
      <c r="BO171" s="4"/>
      <c r="BP171" s="10"/>
      <c r="BQ171" s="4"/>
      <c r="BR171" s="10"/>
      <c r="BS171" s="9"/>
      <c r="BT171" s="10"/>
      <c r="BU171" s="9"/>
      <c r="BV171" s="10"/>
      <c r="BW171" s="9"/>
      <c r="BX171" s="4"/>
      <c r="BY171" s="4"/>
      <c r="BZ171" s="4"/>
      <c r="CA171" s="4"/>
      <c r="CB171" s="4"/>
      <c r="CC171" s="4"/>
      <c r="CD171" s="4"/>
      <c r="CE171" s="4"/>
      <c r="CF171" s="4"/>
      <c r="CG171" s="4"/>
      <c r="CH171" s="4"/>
      <c r="CI171" s="4"/>
      <c r="CJ171" s="4"/>
      <c r="CK171" s="4"/>
      <c r="CL171" s="4"/>
      <c r="CM171" s="4"/>
      <c r="CN171" s="4"/>
      <c r="CO171" s="4"/>
      <c r="CP171" s="4"/>
      <c r="CQ171" s="4"/>
      <c r="CR171" s="4"/>
      <c r="CS171" s="4"/>
      <c r="CT171" s="4"/>
      <c r="CU171" s="4"/>
      <c r="CV171" s="4"/>
      <c r="CW171" s="4"/>
      <c r="CX171" s="4"/>
      <c r="CY171" s="4"/>
      <c r="CZ171" s="4"/>
      <c r="DA171" s="4"/>
      <c r="DB171" s="4"/>
      <c r="DC171" s="4"/>
      <c r="DD171" s="4"/>
      <c r="DE171" s="4"/>
      <c r="DF171" s="4"/>
      <c r="DG171" s="4"/>
      <c r="DH171" s="4"/>
      <c r="DI171" s="4"/>
      <c r="DJ171" s="4"/>
      <c r="DK171" s="4"/>
      <c r="DL171" s="4"/>
      <c r="DM171" s="4"/>
      <c r="DN171" s="4"/>
      <c r="DO171" s="4"/>
      <c r="DP171" s="4"/>
      <c r="DQ171" s="4"/>
      <c r="DR171" s="4"/>
      <c r="DS171" s="4"/>
      <c r="DT171" s="4"/>
    </row>
    <row r="172" spans="1:124" s="31" customFormat="1">
      <c r="A172" s="58" t="s">
        <v>249</v>
      </c>
      <c r="J172" s="156"/>
      <c r="L172" s="143" t="s">
        <v>202</v>
      </c>
      <c r="M172" s="10"/>
      <c r="N172" s="10">
        <v>10922239</v>
      </c>
      <c r="O172" s="10"/>
      <c r="P172" s="10">
        <f>10969926-N172</f>
        <v>47687</v>
      </c>
      <c r="Q172" s="10"/>
      <c r="R172" s="9">
        <v>12808124</v>
      </c>
      <c r="S172" s="10"/>
      <c r="T172" s="10">
        <v>340000</v>
      </c>
      <c r="U172" s="10"/>
      <c r="V172" s="10">
        <v>46410</v>
      </c>
      <c r="W172" s="10"/>
      <c r="X172" s="10">
        <v>139384</v>
      </c>
      <c r="Y172" s="10"/>
      <c r="Z172" s="10">
        <v>227439</v>
      </c>
      <c r="AA172" s="10"/>
      <c r="AB172" s="10">
        <v>231444</v>
      </c>
      <c r="AC172" s="10"/>
      <c r="AD172" s="10">
        <f>419367-6077</f>
        <v>413290</v>
      </c>
      <c r="AE172" s="10"/>
      <c r="AF172" s="10">
        <v>378615.01085416664</v>
      </c>
      <c r="AG172" s="10"/>
      <c r="AH172" s="10">
        <v>426069.82412684895</v>
      </c>
      <c r="AI172" s="4"/>
      <c r="AJ172" s="10">
        <f>[1]Wilton!$K$40</f>
        <v>463711.37538870639</v>
      </c>
      <c r="AK172" s="4"/>
      <c r="AL172" s="10">
        <f>[1]Wilton!$L$40</f>
        <v>505639.68570277008</v>
      </c>
      <c r="AM172" s="4"/>
      <c r="AN172" s="10">
        <v>568176</v>
      </c>
      <c r="AO172" s="10"/>
      <c r="AP172" s="10">
        <f>[1]Wilton!$N$40</f>
        <v>663422.29387704656</v>
      </c>
      <c r="AQ172" s="10"/>
      <c r="AR172" s="10">
        <f>[1]Wilton!$O$40</f>
        <v>873819.32529526937</v>
      </c>
      <c r="AS172" s="10"/>
      <c r="AT172" s="10">
        <f>[1]Wilton!$P$40</f>
        <v>891069.81590450753</v>
      </c>
      <c r="AU172" s="10"/>
      <c r="AV172" s="10">
        <f>[1]Wilton!$Q$40</f>
        <v>1048965.8687712126</v>
      </c>
      <c r="AW172" s="10"/>
      <c r="AX172" s="10">
        <f>[1]Wilton!$R$40</f>
        <v>1175441.8444909456</v>
      </c>
      <c r="AY172" s="10"/>
      <c r="AZ172" s="10">
        <v>1292974</v>
      </c>
      <c r="BA172" s="10"/>
      <c r="BB172" s="10">
        <v>1330970.160947216</v>
      </c>
      <c r="BC172" s="10"/>
      <c r="BD172" s="10"/>
      <c r="BE172" s="4"/>
      <c r="BF172" s="10">
        <v>0</v>
      </c>
      <c r="BG172" s="4"/>
      <c r="BH172" s="10">
        <v>0</v>
      </c>
      <c r="BI172" s="4"/>
      <c r="BJ172" s="10">
        <v>0</v>
      </c>
      <c r="BK172" s="4"/>
      <c r="BL172" s="10">
        <v>0</v>
      </c>
      <c r="BM172" s="4"/>
      <c r="BN172" s="10">
        <f>SUM(T172:BM172)</f>
        <v>11016842.20535869</v>
      </c>
      <c r="BO172" s="4"/>
      <c r="BP172" s="10"/>
      <c r="BQ172" s="4"/>
      <c r="BR172" s="6">
        <f>IF(+R172-BN172+BP172&gt;0,R172-BN172+BP172,0)-R172+[1]Wilton!$Y$40</f>
        <v>6078.2261786516756</v>
      </c>
      <c r="BS172" s="10"/>
      <c r="BT172" s="9">
        <f>+BN172+BR172</f>
        <v>11022920.431537341</v>
      </c>
      <c r="BU172" s="10"/>
      <c r="BV172" s="9">
        <f>+R172-BT172</f>
        <v>1785203.5684626587</v>
      </c>
      <c r="BW172" s="10"/>
      <c r="BX172" s="4"/>
      <c r="BY172" s="4"/>
      <c r="BZ172" s="4"/>
      <c r="CA172" s="4"/>
      <c r="CB172" s="4"/>
      <c r="CC172" s="4"/>
      <c r="CD172" s="4"/>
      <c r="CE172" s="4"/>
      <c r="CF172" s="4"/>
      <c r="CG172" s="4"/>
      <c r="CH172" s="4"/>
      <c r="CI172" s="4"/>
      <c r="CJ172" s="4"/>
      <c r="CK172" s="4"/>
      <c r="CL172" s="4"/>
      <c r="CM172" s="4"/>
      <c r="CN172" s="4"/>
      <c r="CO172" s="4"/>
      <c r="CP172" s="4"/>
      <c r="CQ172" s="4"/>
      <c r="CR172" s="4"/>
      <c r="CS172" s="4"/>
      <c r="CT172" s="4"/>
      <c r="CU172" s="4"/>
      <c r="CV172" s="4"/>
      <c r="CW172" s="4"/>
      <c r="CX172" s="4"/>
      <c r="CY172" s="4"/>
      <c r="CZ172" s="4"/>
      <c r="DA172" s="4"/>
      <c r="DB172" s="4"/>
      <c r="DC172" s="4"/>
      <c r="DD172" s="4"/>
      <c r="DE172" s="4"/>
      <c r="DF172" s="4"/>
      <c r="DG172" s="4"/>
      <c r="DH172" s="4"/>
      <c r="DI172" s="4"/>
      <c r="DJ172" s="4"/>
      <c r="DK172" s="4"/>
      <c r="DL172" s="4"/>
      <c r="DM172" s="4"/>
      <c r="DN172" s="4"/>
      <c r="DO172" s="4"/>
      <c r="DP172" s="4"/>
      <c r="DQ172" s="4"/>
      <c r="DR172" s="4"/>
      <c r="DS172" s="4"/>
      <c r="DT172" s="4"/>
    </row>
    <row r="173" spans="1:124" s="21" customFormat="1">
      <c r="A173" s="58"/>
      <c r="B173" s="31"/>
      <c r="J173" s="8"/>
      <c r="L173" s="141"/>
      <c r="M173" s="9"/>
      <c r="N173" s="10"/>
      <c r="O173" s="9"/>
      <c r="P173" s="10"/>
      <c r="Q173" s="9"/>
      <c r="R173" s="10"/>
      <c r="S173" s="9"/>
      <c r="T173" s="10"/>
      <c r="U173" s="9"/>
      <c r="V173" s="10"/>
      <c r="W173" s="9"/>
      <c r="X173" s="10"/>
      <c r="Y173" s="9"/>
      <c r="Z173" s="10"/>
      <c r="AA173" s="9"/>
      <c r="AB173" s="10"/>
      <c r="AC173" s="9"/>
      <c r="AD173" s="10"/>
      <c r="AE173" s="9"/>
      <c r="AF173" s="10"/>
      <c r="AG173" s="9"/>
      <c r="AH173" s="10"/>
      <c r="AI173" s="4"/>
      <c r="AJ173" s="10"/>
      <c r="AK173" s="4"/>
      <c r="AL173" s="10"/>
      <c r="AM173" s="4"/>
      <c r="AN173" s="10"/>
      <c r="AO173" s="9"/>
      <c r="AP173" s="10"/>
      <c r="AQ173" s="9"/>
      <c r="AR173" s="10"/>
      <c r="AS173" s="9"/>
      <c r="AT173" s="10"/>
      <c r="AU173" s="10"/>
      <c r="AV173" s="10"/>
      <c r="AW173" s="10"/>
      <c r="AX173" s="10"/>
      <c r="AY173" s="10"/>
      <c r="AZ173" s="10"/>
      <c r="BA173" s="10"/>
      <c r="BB173" s="10"/>
      <c r="BC173" s="10"/>
      <c r="BD173" s="10"/>
      <c r="BE173" s="4"/>
      <c r="BF173" s="10"/>
      <c r="BG173" s="4"/>
      <c r="BH173" s="10"/>
      <c r="BI173" s="4"/>
      <c r="BJ173" s="10"/>
      <c r="BK173" s="4"/>
      <c r="BL173" s="10"/>
      <c r="BM173" s="4"/>
      <c r="BN173" s="10"/>
      <c r="BO173" s="4"/>
      <c r="BP173" s="10"/>
      <c r="BQ173" s="4"/>
      <c r="BR173" s="10"/>
      <c r="BS173" s="9"/>
      <c r="BT173" s="10"/>
      <c r="BU173" s="9"/>
      <c r="BV173" s="10"/>
      <c r="BW173" s="9"/>
      <c r="BX173" s="4"/>
      <c r="BY173" s="4"/>
      <c r="BZ173" s="4"/>
      <c r="CA173" s="4"/>
      <c r="CB173" s="4"/>
      <c r="CC173" s="4"/>
      <c r="CD173" s="4"/>
      <c r="CE173" s="4"/>
      <c r="CF173" s="4"/>
      <c r="CG173" s="4"/>
      <c r="CH173" s="4"/>
      <c r="CI173" s="4"/>
      <c r="CJ173" s="4"/>
      <c r="CK173" s="4"/>
      <c r="CL173" s="4"/>
      <c r="CM173" s="4"/>
      <c r="CN173" s="4"/>
      <c r="CO173" s="4"/>
      <c r="CP173" s="4"/>
      <c r="CQ173" s="4"/>
      <c r="CR173" s="4"/>
      <c r="CS173" s="4"/>
      <c r="CT173" s="4"/>
      <c r="CU173" s="4"/>
      <c r="CV173" s="4"/>
      <c r="CW173" s="4"/>
      <c r="CX173" s="4"/>
      <c r="CY173" s="4"/>
      <c r="CZ173" s="4"/>
      <c r="DA173" s="4"/>
      <c r="DB173" s="4"/>
      <c r="DC173" s="4"/>
      <c r="DD173" s="4"/>
      <c r="DE173" s="4"/>
      <c r="DF173" s="4"/>
      <c r="DG173" s="4"/>
      <c r="DH173" s="4"/>
      <c r="DI173" s="4"/>
      <c r="DJ173" s="4"/>
      <c r="DK173" s="4"/>
      <c r="DL173" s="4"/>
      <c r="DM173" s="4"/>
      <c r="DN173" s="4"/>
      <c r="DO173" s="4"/>
      <c r="DP173" s="4"/>
      <c r="DQ173" s="4"/>
      <c r="DR173" s="4"/>
      <c r="DS173" s="4"/>
      <c r="DT173" s="4"/>
    </row>
    <row r="174" spans="1:124" s="105" customFormat="1">
      <c r="A174" s="63" t="s">
        <v>248</v>
      </c>
      <c r="B174" s="54"/>
      <c r="J174" s="155"/>
      <c r="L174" s="142"/>
      <c r="M174" s="13"/>
      <c r="N174" s="120"/>
      <c r="O174" s="13"/>
      <c r="P174" s="120"/>
      <c r="Q174" s="13"/>
      <c r="R174" s="120">
        <f t="shared" ref="R174:BA174" si="34">R172+R163+R154+R152+R150+R144+R140+R132+R125+R123+R121+R244+R117+R170+R142</f>
        <v>24972135</v>
      </c>
      <c r="S174" s="120">
        <f t="shared" si="34"/>
        <v>0</v>
      </c>
      <c r="T174" s="120">
        <f t="shared" si="34"/>
        <v>340000</v>
      </c>
      <c r="U174" s="120">
        <f t="shared" si="34"/>
        <v>0</v>
      </c>
      <c r="V174" s="120">
        <f t="shared" si="34"/>
        <v>47646</v>
      </c>
      <c r="W174" s="120">
        <f t="shared" si="34"/>
        <v>0</v>
      </c>
      <c r="X174" s="120">
        <f t="shared" si="34"/>
        <v>218493</v>
      </c>
      <c r="Y174" s="120">
        <f t="shared" si="34"/>
        <v>0</v>
      </c>
      <c r="Z174" s="120">
        <f t="shared" si="34"/>
        <v>282259</v>
      </c>
      <c r="AA174" s="120">
        <f t="shared" si="34"/>
        <v>0</v>
      </c>
      <c r="AB174" s="120">
        <f t="shared" si="34"/>
        <v>1722017</v>
      </c>
      <c r="AC174" s="120">
        <f t="shared" si="34"/>
        <v>0</v>
      </c>
      <c r="AD174" s="120">
        <f t="shared" si="34"/>
        <v>534669.83000000007</v>
      </c>
      <c r="AE174" s="120">
        <f t="shared" si="34"/>
        <v>0</v>
      </c>
      <c r="AF174" s="120">
        <f t="shared" si="34"/>
        <v>622375.14085416659</v>
      </c>
      <c r="AG174" s="120">
        <f t="shared" si="34"/>
        <v>0</v>
      </c>
      <c r="AH174" s="120">
        <f t="shared" si="34"/>
        <v>1381148.8641268488</v>
      </c>
      <c r="AI174" s="120">
        <f t="shared" si="34"/>
        <v>0</v>
      </c>
      <c r="AJ174" s="120">
        <f t="shared" si="34"/>
        <v>515549.77538870636</v>
      </c>
      <c r="AK174" s="120">
        <f t="shared" si="34"/>
        <v>0</v>
      </c>
      <c r="AL174" s="120">
        <f t="shared" si="34"/>
        <v>551052.15570277011</v>
      </c>
      <c r="AM174" s="120">
        <f t="shared" si="34"/>
        <v>0</v>
      </c>
      <c r="AN174" s="120">
        <f t="shared" si="34"/>
        <v>693677.65</v>
      </c>
      <c r="AO174" s="120">
        <f t="shared" si="34"/>
        <v>0</v>
      </c>
      <c r="AP174" s="120">
        <f t="shared" si="34"/>
        <v>997479.58387704659</v>
      </c>
      <c r="AQ174" s="120">
        <f t="shared" si="34"/>
        <v>0</v>
      </c>
      <c r="AR174" s="120">
        <f t="shared" si="34"/>
        <v>1810970.3252952693</v>
      </c>
      <c r="AS174" s="120">
        <f t="shared" si="34"/>
        <v>0</v>
      </c>
      <c r="AT174" s="120">
        <f t="shared" si="34"/>
        <v>1294710.1259045072</v>
      </c>
      <c r="AU174" s="120">
        <f t="shared" si="34"/>
        <v>0</v>
      </c>
      <c r="AV174" s="120">
        <f t="shared" si="34"/>
        <v>1582025.6787712125</v>
      </c>
      <c r="AW174" s="120">
        <f t="shared" si="34"/>
        <v>0</v>
      </c>
      <c r="AX174" s="120">
        <f t="shared" si="34"/>
        <v>1578800.3344909456</v>
      </c>
      <c r="AY174" s="120">
        <f t="shared" si="34"/>
        <v>0</v>
      </c>
      <c r="AZ174" s="120">
        <f t="shared" si="34"/>
        <v>1875329.53</v>
      </c>
      <c r="BA174" s="120">
        <f t="shared" si="34"/>
        <v>0</v>
      </c>
      <c r="BB174" s="120">
        <f>BB172+BB163+BB154+BB152+BB150+BB144+BB140+BB132+BB125+BB123+BB121+BB117+BB170+BB142</f>
        <v>7508652.3809472164</v>
      </c>
      <c r="BC174" s="120"/>
      <c r="BD174" s="120">
        <f>BD172+BD163+BD154+BD152+BD150+BD144+BD140+BD132+BD125+BD123+BD121+BD244+BD117+BD170+BD142</f>
        <v>614483.34000000008</v>
      </c>
      <c r="BE174" s="4"/>
      <c r="BF174" s="120">
        <f>BF172+BF163+BF154+BF152+BF150+BF144+BF140+BF132+BF125+BF123+BF121+BF244+BF117+BF170+BF142</f>
        <v>373521.64999999997</v>
      </c>
      <c r="BG174" s="4"/>
      <c r="BH174" s="120">
        <f>BH172+BH163+BH154+BH152+BH150+BH144+BH140+BH132+BH125+BH123+BH121+BH244+BH117+BH170+BH142</f>
        <v>401728.88999999996</v>
      </c>
      <c r="BI174" s="4"/>
      <c r="BJ174" s="120">
        <f>BJ172+BJ163+BJ154+BJ152+BJ150+BJ144+BJ140+BJ132+BJ125+BJ123+BJ121+BJ244+BJ117+BJ170+BJ142</f>
        <v>4787407</v>
      </c>
      <c r="BK174" s="4"/>
      <c r="BL174" s="120">
        <f>BL172+BL163+BL154+BL152+BL150+BL144+BL140+BL132+BL125+BL123+BL121+BL244+BL117+BL170+BL142</f>
        <v>245540</v>
      </c>
      <c r="BM174" s="4"/>
      <c r="BN174" s="120">
        <f>BN172+BN163+BN154+BN152+BN150+BN144+BN140+BN132+BN125+BN123+BN121+BN117+BN170+BN142</f>
        <v>29979537.255358692</v>
      </c>
      <c r="BO174" s="4"/>
      <c r="BP174" s="120">
        <f>BP172+BP163+BP154+BP152+BP150+BP144+BP140+BP132+BP125+BP123+BP121+BP244+BP117+BP170+BP142</f>
        <v>8436102.4900000002</v>
      </c>
      <c r="BQ174" s="4"/>
      <c r="BR174" s="120">
        <f>BR117+BR121+BR123+BR125+BR132+BR140+BR142+BR144+BR150+BR152+BR154+BR163+BR170+BR172</f>
        <v>3978755.5761786527</v>
      </c>
      <c r="BS174" s="120">
        <f>BS172+BS163+BS154+BS152+BS150+BS144+BS140+BS132+BS125+BS123+BS121+BS244+BS117+BS170+BS142</f>
        <v>0</v>
      </c>
      <c r="BT174" s="120">
        <f>BT117+BT121+BT123+BT125+BT132+BT140+BT142+BT144+BT150+BT152+BT154+BT163+BT170+BT172</f>
        <v>33967995.831537336</v>
      </c>
      <c r="BU174" s="120">
        <f>BU172+BU163+BU154+BU152+BU150+BU144+BU140+BU132+BU125+BU123+BU121+BU244+BU117+BU170+BU142</f>
        <v>0</v>
      </c>
      <c r="BV174" s="120">
        <f>BV117+BV121+BV123+BV125+BV132+BV140+BV142+BV144+BV150+BV152+BV154+BV163+BV170+BV172</f>
        <v>-8995860.8315373417</v>
      </c>
      <c r="BW174" s="120">
        <f>BW172+BW163+BW154+BW152+BW150+BW144+BW140+BW132+BW125+BW123+BW121+BW244+BW117+BW170</f>
        <v>0</v>
      </c>
      <c r="BX174" s="4"/>
      <c r="BY174" s="4"/>
      <c r="BZ174" s="4"/>
      <c r="CA174" s="4"/>
      <c r="CB174" s="4"/>
      <c r="CC174" s="4"/>
      <c r="CD174" s="4"/>
      <c r="CE174" s="4"/>
      <c r="CF174" s="4"/>
      <c r="CG174" s="4"/>
      <c r="CH174" s="4"/>
      <c r="CI174" s="4"/>
      <c r="CJ174" s="4"/>
      <c r="CK174" s="4"/>
      <c r="CL174" s="4"/>
      <c r="CM174" s="4"/>
      <c r="CN174" s="4"/>
      <c r="CO174" s="4"/>
      <c r="CP174" s="4"/>
      <c r="CQ174" s="4"/>
      <c r="CR174" s="4"/>
      <c r="CS174" s="4"/>
      <c r="CT174" s="4"/>
      <c r="CU174" s="4"/>
      <c r="CV174" s="4"/>
      <c r="CW174" s="4"/>
      <c r="CX174" s="4"/>
      <c r="CY174" s="4"/>
      <c r="CZ174" s="4"/>
      <c r="DA174" s="4"/>
      <c r="DB174" s="4"/>
      <c r="DC174" s="4"/>
      <c r="DD174" s="4"/>
      <c r="DE174" s="4"/>
      <c r="DF174" s="4"/>
      <c r="DG174" s="4"/>
      <c r="DH174" s="4"/>
      <c r="DI174" s="4"/>
      <c r="DJ174" s="4"/>
      <c r="DK174" s="4"/>
      <c r="DL174" s="4"/>
      <c r="DM174" s="4"/>
      <c r="DN174" s="4"/>
      <c r="DO174" s="4"/>
      <c r="DP174" s="4"/>
      <c r="DQ174" s="4"/>
      <c r="DR174" s="4"/>
      <c r="DS174" s="4"/>
      <c r="DT174" s="4"/>
    </row>
    <row r="175" spans="1:124" s="21" customFormat="1">
      <c r="A175" s="58"/>
      <c r="B175" s="31"/>
      <c r="J175" s="8"/>
      <c r="L175" s="141"/>
      <c r="M175" s="9"/>
      <c r="N175" s="10"/>
      <c r="O175" s="9"/>
      <c r="P175" s="10"/>
      <c r="Q175" s="9"/>
      <c r="R175" s="10"/>
      <c r="S175" s="9"/>
      <c r="T175" s="10"/>
      <c r="U175" s="9"/>
      <c r="V175" s="10"/>
      <c r="W175" s="9"/>
      <c r="X175" s="10"/>
      <c r="Y175" s="9"/>
      <c r="Z175" s="10"/>
      <c r="AA175" s="9"/>
      <c r="AB175" s="10"/>
      <c r="AC175" s="9"/>
      <c r="AD175" s="10"/>
      <c r="AE175" s="9"/>
      <c r="AF175" s="10"/>
      <c r="AG175" s="9"/>
      <c r="AH175" s="10"/>
      <c r="AI175" s="4"/>
      <c r="AJ175" s="10"/>
      <c r="AK175" s="4"/>
      <c r="AL175" s="10"/>
      <c r="AM175" s="4"/>
      <c r="AN175" s="10"/>
      <c r="AO175" s="9"/>
      <c r="AP175" s="10"/>
      <c r="AQ175" s="9"/>
      <c r="AR175" s="10"/>
      <c r="AS175" s="9"/>
      <c r="AT175" s="10"/>
      <c r="AU175" s="10"/>
      <c r="AV175" s="10"/>
      <c r="AW175" s="10"/>
      <c r="AX175" s="10"/>
      <c r="AY175" s="10"/>
      <c r="AZ175" s="10"/>
      <c r="BA175" s="10"/>
      <c r="BB175" s="10"/>
      <c r="BC175" s="10"/>
      <c r="BD175" s="10"/>
      <c r="BE175" s="4"/>
      <c r="BF175" s="10"/>
      <c r="BG175" s="4"/>
      <c r="BH175" s="10"/>
      <c r="BI175" s="4"/>
      <c r="BJ175" s="10"/>
      <c r="BK175" s="4"/>
      <c r="BL175" s="10"/>
      <c r="BM175" s="4"/>
      <c r="BN175" s="10"/>
      <c r="BO175" s="4"/>
      <c r="BP175" s="10"/>
      <c r="BQ175" s="4"/>
      <c r="BR175" s="10"/>
      <c r="BS175" s="9"/>
      <c r="BT175" s="10"/>
      <c r="BU175" s="9"/>
      <c r="BV175" s="10"/>
      <c r="BW175" s="9"/>
      <c r="BX175" s="4"/>
      <c r="BY175" s="4"/>
      <c r="BZ175" s="4"/>
      <c r="CA175" s="4"/>
      <c r="CB175" s="4"/>
      <c r="CC175" s="4"/>
      <c r="CD175" s="4"/>
      <c r="CE175" s="4"/>
      <c r="CF175" s="4"/>
      <c r="CG175" s="4"/>
      <c r="CH175" s="4"/>
      <c r="CI175" s="4"/>
      <c r="CJ175" s="4"/>
      <c r="CK175" s="4"/>
      <c r="CL175" s="4"/>
      <c r="CM175" s="4"/>
      <c r="CN175" s="4"/>
      <c r="CO175" s="4"/>
      <c r="CP175" s="4"/>
      <c r="CQ175" s="4"/>
      <c r="CR175" s="4"/>
      <c r="CS175" s="4"/>
      <c r="CT175" s="4"/>
      <c r="CU175" s="4"/>
      <c r="CV175" s="4"/>
      <c r="CW175" s="4"/>
      <c r="CX175" s="4"/>
      <c r="CY175" s="4"/>
      <c r="CZ175" s="4"/>
      <c r="DA175" s="4"/>
      <c r="DB175" s="4"/>
      <c r="DC175" s="4"/>
      <c r="DD175" s="4"/>
      <c r="DE175" s="4"/>
      <c r="DF175" s="4"/>
      <c r="DG175" s="4"/>
      <c r="DH175" s="4"/>
      <c r="DI175" s="4"/>
      <c r="DJ175" s="4"/>
      <c r="DK175" s="4"/>
      <c r="DL175" s="4"/>
      <c r="DM175" s="4"/>
      <c r="DN175" s="4"/>
      <c r="DO175" s="4"/>
      <c r="DP175" s="4"/>
      <c r="DQ175" s="4"/>
      <c r="DR175" s="4"/>
      <c r="DS175" s="4"/>
      <c r="DT175" s="4"/>
    </row>
    <row r="176" spans="1:124" s="21" customFormat="1">
      <c r="A176" s="58" t="s">
        <v>190</v>
      </c>
      <c r="B176" s="31"/>
      <c r="J176" s="8"/>
      <c r="L176" s="141" t="s">
        <v>202</v>
      </c>
      <c r="M176" s="9"/>
      <c r="N176" s="9">
        <v>5395729</v>
      </c>
      <c r="O176" s="9"/>
      <c r="P176" s="9">
        <f>5463580+-N176</f>
        <v>67851</v>
      </c>
      <c r="Q176" s="9"/>
      <c r="R176" s="9">
        <v>4408071.75</v>
      </c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>
        <v>0</v>
      </c>
      <c r="AG176" s="9"/>
      <c r="AH176" s="9"/>
      <c r="AI176" s="4"/>
      <c r="AJ176" s="9"/>
      <c r="AK176" s="4"/>
      <c r="AL176" s="9"/>
      <c r="AM176" s="4"/>
      <c r="AN176" s="9"/>
      <c r="AO176" s="9"/>
      <c r="AP176" s="9"/>
      <c r="AQ176" s="9"/>
      <c r="AR176" s="9"/>
      <c r="AS176" s="9"/>
      <c r="AT176" s="9"/>
      <c r="AU176" s="9"/>
      <c r="AV176" s="9"/>
      <c r="AW176" s="9"/>
      <c r="AX176" s="9"/>
      <c r="AY176" s="9"/>
      <c r="AZ176" s="9"/>
      <c r="BA176" s="9"/>
      <c r="BB176" s="9"/>
      <c r="BC176" s="9"/>
      <c r="BD176" s="9"/>
      <c r="BE176" s="4"/>
      <c r="BF176" s="9"/>
      <c r="BG176" s="4"/>
      <c r="BH176" s="9"/>
      <c r="BI176" s="4"/>
      <c r="BJ176" s="9"/>
      <c r="BK176" s="4"/>
      <c r="BL176" s="9"/>
      <c r="BM176" s="4"/>
      <c r="BN176" s="10">
        <f>SUM(T176:BM176)</f>
        <v>0</v>
      </c>
      <c r="BO176" s="4"/>
      <c r="BP176" s="9">
        <v>-4408072</v>
      </c>
      <c r="BQ176" s="4"/>
      <c r="BR176" s="6">
        <f>IF(+R176-BN176+BP176&gt;0,R176-BN176+BP176,0)</f>
        <v>0</v>
      </c>
      <c r="BS176" s="9">
        <v>2030320</v>
      </c>
      <c r="BT176" s="9">
        <f>+BN176+BR176</f>
        <v>0</v>
      </c>
      <c r="BU176" s="9">
        <v>2030320</v>
      </c>
      <c r="BV176" s="6">
        <f>+R176-BT176</f>
        <v>4408071.75</v>
      </c>
      <c r="BW176" s="9"/>
      <c r="BX176" s="4"/>
      <c r="BY176" s="4"/>
      <c r="BZ176" s="4"/>
      <c r="CA176" s="4"/>
      <c r="CB176" s="4"/>
      <c r="CC176" s="4"/>
      <c r="CD176" s="4"/>
      <c r="CE176" s="4"/>
      <c r="CF176" s="4"/>
      <c r="CG176" s="4"/>
      <c r="CH176" s="4"/>
      <c r="CI176" s="4"/>
      <c r="CJ176" s="4"/>
      <c r="CK176" s="4"/>
      <c r="CL176" s="4"/>
      <c r="CM176" s="4"/>
      <c r="CN176" s="4"/>
      <c r="CO176" s="4"/>
      <c r="CP176" s="4"/>
      <c r="CQ176" s="4"/>
      <c r="CR176" s="4"/>
      <c r="CS176" s="4"/>
      <c r="CT176" s="4"/>
      <c r="CU176" s="4"/>
      <c r="CV176" s="4"/>
      <c r="CW176" s="4"/>
      <c r="CX176" s="4"/>
      <c r="CY176" s="4"/>
      <c r="CZ176" s="4"/>
      <c r="DA176" s="4"/>
      <c r="DB176" s="4"/>
      <c r="DC176" s="4"/>
      <c r="DD176" s="4"/>
      <c r="DE176" s="4"/>
      <c r="DF176" s="4"/>
      <c r="DG176" s="4"/>
      <c r="DH176" s="4"/>
      <c r="DI176" s="4"/>
      <c r="DJ176" s="4"/>
      <c r="DK176" s="4"/>
      <c r="DL176" s="4"/>
      <c r="DM176" s="4"/>
      <c r="DN176" s="4"/>
      <c r="DO176" s="4"/>
      <c r="DP176" s="4"/>
      <c r="DQ176" s="4"/>
      <c r="DR176" s="4"/>
      <c r="DS176" s="4"/>
      <c r="DT176" s="4"/>
    </row>
    <row r="177" spans="1:124" s="21" customFormat="1">
      <c r="A177" s="58"/>
      <c r="B177" s="31"/>
      <c r="J177" s="8"/>
      <c r="L177" s="141"/>
      <c r="M177" s="9"/>
      <c r="N177" s="10"/>
      <c r="O177" s="9"/>
      <c r="P177" s="10"/>
      <c r="Q177" s="9"/>
      <c r="R177" s="10"/>
      <c r="S177" s="9"/>
      <c r="T177" s="10"/>
      <c r="U177" s="9"/>
      <c r="V177" s="10"/>
      <c r="W177" s="9"/>
      <c r="X177" s="10"/>
      <c r="Y177" s="9"/>
      <c r="Z177" s="10"/>
      <c r="AA177" s="9"/>
      <c r="AB177" s="10"/>
      <c r="AC177" s="9"/>
      <c r="AD177" s="10"/>
      <c r="AE177" s="9"/>
      <c r="AF177" s="10"/>
      <c r="AG177" s="9"/>
      <c r="AH177" s="10"/>
      <c r="AI177" s="4"/>
      <c r="AJ177" s="10"/>
      <c r="AK177" s="4"/>
      <c r="AL177" s="10"/>
      <c r="AM177" s="4"/>
      <c r="AN177" s="10"/>
      <c r="AO177" s="9"/>
      <c r="AP177" s="10"/>
      <c r="AQ177" s="9"/>
      <c r="AR177" s="10"/>
      <c r="AS177" s="9"/>
      <c r="AT177" s="10"/>
      <c r="AU177" s="10"/>
      <c r="AV177" s="10"/>
      <c r="AW177" s="10"/>
      <c r="AX177" s="10"/>
      <c r="AY177" s="10"/>
      <c r="AZ177" s="10"/>
      <c r="BA177" s="10"/>
      <c r="BB177" s="10"/>
      <c r="BC177" s="10"/>
      <c r="BD177" s="10"/>
      <c r="BE177" s="4"/>
      <c r="BF177" s="10"/>
      <c r="BG177" s="4"/>
      <c r="BH177" s="10"/>
      <c r="BI177" s="4"/>
      <c r="BJ177" s="10"/>
      <c r="BK177" s="4"/>
      <c r="BL177" s="10"/>
      <c r="BM177" s="4"/>
      <c r="BN177" s="10"/>
      <c r="BO177" s="4"/>
      <c r="BP177" s="10"/>
      <c r="BQ177" s="4"/>
      <c r="BR177" s="10"/>
      <c r="BS177" s="9"/>
      <c r="BT177" s="10"/>
      <c r="BU177" s="9"/>
      <c r="BV177" s="10"/>
      <c r="BW177" s="9"/>
      <c r="BX177" s="4"/>
      <c r="BY177" s="4"/>
      <c r="BZ177" s="4"/>
      <c r="CA177" s="4"/>
      <c r="CB177" s="4"/>
      <c r="CC177" s="4"/>
      <c r="CD177" s="4"/>
      <c r="CE177" s="4"/>
      <c r="CF177" s="4"/>
      <c r="CG177" s="4"/>
      <c r="CH177" s="4"/>
      <c r="CI177" s="4"/>
      <c r="CJ177" s="4"/>
      <c r="CK177" s="4"/>
      <c r="CL177" s="4"/>
      <c r="CM177" s="4"/>
      <c r="CN177" s="4"/>
      <c r="CO177" s="4"/>
      <c r="CP177" s="4"/>
      <c r="CQ177" s="4"/>
      <c r="CR177" s="4"/>
      <c r="CS177" s="4"/>
      <c r="CT177" s="4"/>
      <c r="CU177" s="4"/>
      <c r="CV177" s="4"/>
      <c r="CW177" s="4"/>
      <c r="CX177" s="4"/>
      <c r="CY177" s="4"/>
      <c r="CZ177" s="4"/>
      <c r="DA177" s="4"/>
      <c r="DB177" s="4"/>
      <c r="DC177" s="4"/>
      <c r="DD177" s="4"/>
      <c r="DE177" s="4"/>
      <c r="DF177" s="4"/>
      <c r="DG177" s="4"/>
      <c r="DH177" s="4"/>
      <c r="DI177" s="4"/>
      <c r="DJ177" s="4"/>
      <c r="DK177" s="4"/>
      <c r="DL177" s="4"/>
      <c r="DM177" s="4"/>
      <c r="DN177" s="4"/>
      <c r="DO177" s="4"/>
      <c r="DP177" s="4"/>
      <c r="DQ177" s="4"/>
      <c r="DR177" s="4"/>
      <c r="DS177" s="4"/>
      <c r="DT177" s="4"/>
    </row>
    <row r="178" spans="1:124" s="21" customFormat="1">
      <c r="A178" s="58"/>
      <c r="B178" s="31"/>
      <c r="J178" s="8"/>
      <c r="L178" s="141"/>
      <c r="M178" s="9"/>
      <c r="N178" s="10"/>
      <c r="O178" s="9"/>
      <c r="P178" s="10"/>
      <c r="Q178" s="9"/>
      <c r="R178" s="10"/>
      <c r="S178" s="9"/>
      <c r="T178" s="10"/>
      <c r="U178" s="9"/>
      <c r="V178" s="10"/>
      <c r="W178" s="9"/>
      <c r="X178" s="10"/>
      <c r="Y178" s="9"/>
      <c r="Z178" s="10"/>
      <c r="AA178" s="9"/>
      <c r="AB178" s="10"/>
      <c r="AC178" s="9"/>
      <c r="AD178" s="10"/>
      <c r="AE178" s="9"/>
      <c r="AF178" s="10"/>
      <c r="AG178" s="9"/>
      <c r="AH178" s="10"/>
      <c r="AI178" s="4"/>
      <c r="AJ178" s="10"/>
      <c r="AK178" s="4"/>
      <c r="AL178" s="10"/>
      <c r="AM178" s="4"/>
      <c r="AN178" s="10"/>
      <c r="AO178" s="9"/>
      <c r="AP178" s="10"/>
      <c r="AQ178" s="9"/>
      <c r="AR178" s="10"/>
      <c r="AS178" s="9"/>
      <c r="AT178" s="10"/>
      <c r="AU178" s="10"/>
      <c r="AV178" s="10"/>
      <c r="AW178" s="10"/>
      <c r="AX178" s="10"/>
      <c r="AY178" s="10"/>
      <c r="AZ178" s="10"/>
      <c r="BA178" s="10"/>
      <c r="BB178" s="10"/>
      <c r="BC178" s="10"/>
      <c r="BD178" s="10"/>
      <c r="BE178" s="4"/>
      <c r="BF178" s="10"/>
      <c r="BG178" s="4"/>
      <c r="BH178" s="10"/>
      <c r="BI178" s="4"/>
      <c r="BJ178" s="10"/>
      <c r="BK178" s="4"/>
      <c r="BL178" s="10"/>
      <c r="BM178" s="4"/>
      <c r="BN178" s="10"/>
      <c r="BO178" s="4"/>
      <c r="BP178" s="10"/>
      <c r="BQ178" s="4"/>
      <c r="BR178" s="10"/>
      <c r="BS178" s="9"/>
      <c r="BT178" s="10"/>
      <c r="BU178" s="9"/>
      <c r="BV178" s="10"/>
      <c r="BW178" s="9"/>
      <c r="BX178" s="4"/>
      <c r="BY178" s="4"/>
      <c r="BZ178" s="4"/>
      <c r="CA178" s="4"/>
      <c r="CB178" s="4"/>
      <c r="CC178" s="4"/>
      <c r="CD178" s="4"/>
      <c r="CE178" s="4"/>
      <c r="CF178" s="4"/>
      <c r="CG178" s="4"/>
      <c r="CH178" s="4"/>
      <c r="CI178" s="4"/>
      <c r="CJ178" s="4"/>
      <c r="CK178" s="4"/>
      <c r="CL178" s="4"/>
      <c r="CM178" s="4"/>
      <c r="CN178" s="4"/>
      <c r="CO178" s="4"/>
      <c r="CP178" s="4"/>
      <c r="CQ178" s="4"/>
      <c r="CR178" s="4"/>
      <c r="CS178" s="4"/>
      <c r="CT178" s="4"/>
      <c r="CU178" s="4"/>
      <c r="CV178" s="4"/>
      <c r="CW178" s="4"/>
      <c r="CX178" s="4"/>
      <c r="CY178" s="4"/>
      <c r="CZ178" s="4"/>
      <c r="DA178" s="4"/>
      <c r="DB178" s="4"/>
      <c r="DC178" s="4"/>
      <c r="DD178" s="4"/>
      <c r="DE178" s="4"/>
      <c r="DF178" s="4"/>
      <c r="DG178" s="4"/>
      <c r="DH178" s="4"/>
      <c r="DI178" s="4"/>
      <c r="DJ178" s="4"/>
      <c r="DK178" s="4"/>
      <c r="DL178" s="4"/>
      <c r="DM178" s="4"/>
      <c r="DN178" s="4"/>
      <c r="DO178" s="4"/>
      <c r="DP178" s="4"/>
      <c r="DQ178" s="4"/>
      <c r="DR178" s="4"/>
      <c r="DS178" s="4"/>
      <c r="DT178" s="4"/>
    </row>
    <row r="179" spans="1:124" s="166" customFormat="1">
      <c r="A179" s="165" t="s">
        <v>253</v>
      </c>
      <c r="J179" s="167"/>
      <c r="L179" s="168"/>
      <c r="M179" s="169"/>
      <c r="N179" s="169"/>
      <c r="O179" s="169"/>
      <c r="P179" s="169"/>
      <c r="Q179" s="169"/>
      <c r="R179" s="164">
        <f t="shared" ref="R179:AD179" si="35">R33+R99+R89+R108+R174+R176</f>
        <v>239675467.75</v>
      </c>
      <c r="S179" s="164">
        <f t="shared" si="35"/>
        <v>0</v>
      </c>
      <c r="T179" s="164">
        <f t="shared" si="35"/>
        <v>7140000</v>
      </c>
      <c r="U179" s="164">
        <f t="shared" si="35"/>
        <v>0</v>
      </c>
      <c r="V179" s="164">
        <f t="shared" si="35"/>
        <v>1297646</v>
      </c>
      <c r="W179" s="164">
        <f t="shared" si="35"/>
        <v>0</v>
      </c>
      <c r="X179" s="164">
        <f t="shared" si="35"/>
        <v>33103293</v>
      </c>
      <c r="Y179" s="164">
        <f t="shared" si="35"/>
        <v>0</v>
      </c>
      <c r="Z179" s="164">
        <f t="shared" si="35"/>
        <v>282259</v>
      </c>
      <c r="AA179" s="164">
        <f t="shared" si="35"/>
        <v>0</v>
      </c>
      <c r="AB179" s="164">
        <f t="shared" si="35"/>
        <v>1722017</v>
      </c>
      <c r="AC179" s="164">
        <f t="shared" si="35"/>
        <v>0</v>
      </c>
      <c r="AD179" s="164">
        <f t="shared" si="35"/>
        <v>18845196.829999998</v>
      </c>
      <c r="AE179" s="164"/>
      <c r="AF179" s="164">
        <f>AF33+AF99+AF89+AF108+AF174+AF176</f>
        <v>8237655.1408541668</v>
      </c>
      <c r="AG179" s="164"/>
      <c r="AH179" s="164">
        <f>AH33+AH99+AH89+AH108+AH174+AH176</f>
        <v>8871230.9374601822</v>
      </c>
      <c r="AI179" s="4"/>
      <c r="AJ179" s="164">
        <f>AJ33+AJ99+AJ89+AJ108+AJ174+AJ176</f>
        <v>6989210.1253887061</v>
      </c>
      <c r="AK179" s="4"/>
      <c r="AL179" s="164">
        <f>AL33+AL99+AL89+AL108+AL174+AL176</f>
        <v>7789231.1557027698</v>
      </c>
      <c r="AM179" s="4"/>
      <c r="AN179" s="164">
        <f t="shared" ref="AN179:BU179" si="36">AN33+AN99+AN89+AN108+AN174+AN176</f>
        <v>11600775.180000002</v>
      </c>
      <c r="AO179" s="164">
        <f t="shared" si="36"/>
        <v>0</v>
      </c>
      <c r="AP179" s="164">
        <f t="shared" si="36"/>
        <v>17679120.913877048</v>
      </c>
      <c r="AQ179" s="164">
        <f t="shared" si="36"/>
        <v>0</v>
      </c>
      <c r="AR179" s="164">
        <f t="shared" si="36"/>
        <v>39304333.695295267</v>
      </c>
      <c r="AS179" s="164">
        <f t="shared" si="36"/>
        <v>0</v>
      </c>
      <c r="AT179" s="164">
        <f t="shared" si="36"/>
        <v>2943898.2559045074</v>
      </c>
      <c r="AU179" s="164">
        <f t="shared" si="36"/>
        <v>0</v>
      </c>
      <c r="AV179" s="164">
        <f t="shared" si="36"/>
        <v>29327061.258771211</v>
      </c>
      <c r="AW179" s="164">
        <f t="shared" si="36"/>
        <v>0</v>
      </c>
      <c r="AX179" s="164">
        <f t="shared" si="36"/>
        <v>23466763.284490943</v>
      </c>
      <c r="AY179" s="164">
        <f t="shared" si="36"/>
        <v>0</v>
      </c>
      <c r="AZ179" s="164">
        <f t="shared" si="36"/>
        <v>22126233.530000001</v>
      </c>
      <c r="BA179" s="164">
        <f t="shared" si="36"/>
        <v>0</v>
      </c>
      <c r="BB179" s="164">
        <f t="shared" si="36"/>
        <v>8412940.5109472163</v>
      </c>
      <c r="BC179" s="164"/>
      <c r="BD179" s="164">
        <f t="shared" si="36"/>
        <v>11834996.67</v>
      </c>
      <c r="BE179" s="4"/>
      <c r="BF179" s="164">
        <f>BF33+BF99+BF89+BF108+BF174+BF176</f>
        <v>1350600.65</v>
      </c>
      <c r="BG179" s="4"/>
      <c r="BH179" s="164">
        <f>BH33+BH99+BH89+BH108+BH174+BH176</f>
        <v>401728.88999999996</v>
      </c>
      <c r="BI179" s="4"/>
      <c r="BJ179" s="164">
        <f>BJ33+BJ99+BJ89+BJ108+BJ174+BJ176</f>
        <v>5162294</v>
      </c>
      <c r="BK179" s="4"/>
      <c r="BL179" s="164">
        <f>BL33+BL99+BL89+BL108+BL174+BL176</f>
        <v>245540</v>
      </c>
      <c r="BM179" s="4"/>
      <c r="BN179" s="164">
        <f t="shared" si="36"/>
        <v>268134026.02869204</v>
      </c>
      <c r="BO179" s="4"/>
      <c r="BP179" s="164">
        <f t="shared" si="36"/>
        <v>30419518.490000002</v>
      </c>
      <c r="BQ179" s="4"/>
      <c r="BR179" s="164">
        <f>BR33+BR89+BR99+BR108+BR174</f>
        <v>2715759.5761786527</v>
      </c>
      <c r="BS179" s="164">
        <f t="shared" si="36"/>
        <v>2030320</v>
      </c>
      <c r="BT179" s="164">
        <f t="shared" si="36"/>
        <v>270859485.60487068</v>
      </c>
      <c r="BU179" s="164">
        <f t="shared" si="36"/>
        <v>2030320</v>
      </c>
      <c r="BV179" s="164">
        <f>BV33+BV89+BV99+BV108+BV176+BV174</f>
        <v>-31184017.85487067</v>
      </c>
      <c r="BW179" s="169"/>
      <c r="BX179" s="4"/>
      <c r="BY179" s="4"/>
      <c r="BZ179" s="4"/>
      <c r="CA179" s="4"/>
      <c r="CB179" s="4"/>
      <c r="CC179" s="4"/>
      <c r="CD179" s="4"/>
      <c r="CE179" s="4"/>
      <c r="CF179" s="4"/>
      <c r="CG179" s="4"/>
      <c r="CH179" s="4"/>
      <c r="CI179" s="4"/>
      <c r="CJ179" s="4"/>
      <c r="CK179" s="4"/>
      <c r="CL179" s="4"/>
      <c r="CM179" s="4"/>
      <c r="CN179" s="4"/>
      <c r="CO179" s="4"/>
      <c r="CP179" s="4"/>
      <c r="CQ179" s="4"/>
      <c r="CR179" s="4"/>
      <c r="CS179" s="4"/>
      <c r="CT179" s="4"/>
      <c r="CU179" s="4"/>
      <c r="CV179" s="4"/>
      <c r="CW179" s="4"/>
      <c r="CX179" s="4"/>
      <c r="CY179" s="4"/>
      <c r="CZ179" s="4"/>
      <c r="DA179" s="4"/>
      <c r="DB179" s="4"/>
      <c r="DC179" s="4"/>
      <c r="DD179" s="4"/>
      <c r="DE179" s="4"/>
      <c r="DF179" s="4"/>
      <c r="DG179" s="4"/>
      <c r="DH179" s="4"/>
      <c r="DI179" s="4"/>
      <c r="DJ179" s="4"/>
      <c r="DK179" s="4"/>
      <c r="DL179" s="4"/>
      <c r="DM179" s="4"/>
      <c r="DN179" s="4"/>
      <c r="DO179" s="4"/>
      <c r="DP179" s="4"/>
      <c r="DQ179" s="4"/>
      <c r="DR179" s="4"/>
      <c r="DS179" s="4"/>
      <c r="DT179" s="4"/>
    </row>
    <row r="180" spans="1:124" s="21" customFormat="1" ht="13.5" customHeight="1">
      <c r="A180" s="58" t="s">
        <v>251</v>
      </c>
      <c r="B180" s="31"/>
      <c r="J180" s="8"/>
      <c r="L180" s="141"/>
      <c r="M180" s="9"/>
      <c r="N180" s="10"/>
      <c r="O180" s="9"/>
      <c r="P180" s="10"/>
      <c r="Q180" s="9"/>
      <c r="R180" s="10"/>
      <c r="S180" s="9"/>
      <c r="T180" s="10"/>
      <c r="U180" s="9"/>
      <c r="V180" s="10"/>
      <c r="W180" s="9"/>
      <c r="X180" s="10"/>
      <c r="Y180" s="9"/>
      <c r="Z180" s="10"/>
      <c r="AA180" s="9"/>
      <c r="AB180" s="10"/>
      <c r="AC180" s="9"/>
      <c r="AD180" s="10"/>
      <c r="AE180" s="9"/>
      <c r="AF180" s="10"/>
      <c r="AG180" s="9"/>
      <c r="AH180" s="10"/>
      <c r="AI180" s="4"/>
      <c r="AJ180" s="10"/>
      <c r="AK180" s="4"/>
      <c r="AL180" s="10"/>
      <c r="AM180" s="4"/>
      <c r="AN180" s="10"/>
      <c r="AO180" s="9"/>
      <c r="AP180" s="10"/>
      <c r="AQ180" s="9"/>
      <c r="AR180" s="10"/>
      <c r="AS180" s="9"/>
      <c r="AT180" s="10"/>
      <c r="AU180" s="10"/>
      <c r="AV180" s="10"/>
      <c r="AW180" s="10"/>
      <c r="AX180" s="10"/>
      <c r="AY180" s="10"/>
      <c r="AZ180" s="10"/>
      <c r="BA180" s="10"/>
      <c r="BB180" s="10"/>
      <c r="BC180" s="10"/>
      <c r="BD180" s="10"/>
      <c r="BE180" s="4"/>
      <c r="BF180" s="10"/>
      <c r="BG180" s="4"/>
      <c r="BH180" s="10"/>
      <c r="BI180" s="4"/>
      <c r="BJ180" s="10"/>
      <c r="BK180" s="4"/>
      <c r="BL180" s="10"/>
      <c r="BM180" s="4"/>
      <c r="BN180" s="10"/>
      <c r="BO180" s="4"/>
      <c r="BP180" s="10"/>
      <c r="BQ180" s="4"/>
      <c r="BR180" s="10"/>
      <c r="BS180" s="9"/>
      <c r="BT180" s="10">
        <f>BT179/B4</f>
        <v>445492.57500801096</v>
      </c>
      <c r="BU180" s="9"/>
      <c r="BV180" s="10"/>
      <c r="BW180" s="9"/>
      <c r="BX180" s="4"/>
      <c r="BY180" s="4"/>
      <c r="BZ180" s="4"/>
      <c r="CA180" s="4"/>
      <c r="CB180" s="4"/>
      <c r="CC180" s="4"/>
      <c r="CD180" s="4"/>
      <c r="CE180" s="4"/>
      <c r="CF180" s="4"/>
      <c r="CG180" s="4"/>
      <c r="CH180" s="4"/>
      <c r="CI180" s="4"/>
      <c r="CJ180" s="4"/>
      <c r="CK180" s="4"/>
      <c r="CL180" s="4"/>
      <c r="CM180" s="4"/>
      <c r="CN180" s="4"/>
      <c r="CO180" s="4"/>
      <c r="CP180" s="4"/>
      <c r="CQ180" s="4"/>
      <c r="CR180" s="4"/>
      <c r="CS180" s="4"/>
      <c r="CT180" s="4"/>
      <c r="CU180" s="4"/>
      <c r="CV180" s="4"/>
      <c r="CW180" s="4"/>
      <c r="CX180" s="4"/>
      <c r="CY180" s="4"/>
      <c r="CZ180" s="4"/>
      <c r="DA180" s="4"/>
      <c r="DB180" s="4"/>
      <c r="DC180" s="4"/>
      <c r="DD180" s="4"/>
      <c r="DE180" s="4"/>
      <c r="DF180" s="4"/>
      <c r="DG180" s="4"/>
      <c r="DH180" s="4"/>
      <c r="DI180" s="4"/>
      <c r="DJ180" s="4"/>
      <c r="DK180" s="4"/>
      <c r="DL180" s="4"/>
      <c r="DM180" s="4"/>
      <c r="DN180" s="4"/>
      <c r="DO180" s="4"/>
      <c r="DP180" s="4"/>
      <c r="DQ180" s="4"/>
      <c r="DR180" s="4"/>
      <c r="DS180" s="4"/>
      <c r="DT180" s="4"/>
    </row>
    <row r="181" spans="1:124" s="21" customFormat="1" ht="12" customHeight="1">
      <c r="A181" s="58"/>
      <c r="B181" s="31"/>
      <c r="J181" s="8"/>
      <c r="L181" s="141"/>
      <c r="M181" s="9"/>
      <c r="N181" s="10"/>
      <c r="O181" s="9"/>
      <c r="P181" s="10"/>
      <c r="Q181" s="9"/>
      <c r="R181" s="10"/>
      <c r="S181" s="9"/>
      <c r="T181" s="10"/>
      <c r="U181" s="9"/>
      <c r="V181" s="10"/>
      <c r="W181" s="9"/>
      <c r="X181" s="10"/>
      <c r="Y181" s="9"/>
      <c r="Z181" s="10"/>
      <c r="AA181" s="9"/>
      <c r="AB181" s="10"/>
      <c r="AC181" s="9"/>
      <c r="AD181" s="10"/>
      <c r="AE181" s="9"/>
      <c r="AF181" s="10"/>
      <c r="AG181" s="9"/>
      <c r="AH181" s="10"/>
      <c r="AI181" s="4"/>
      <c r="AJ181" s="10"/>
      <c r="AK181" s="4"/>
      <c r="AL181" s="10"/>
      <c r="AM181" s="4"/>
      <c r="AN181" s="10"/>
      <c r="AO181" s="9"/>
      <c r="AP181" s="10"/>
      <c r="AQ181" s="9"/>
      <c r="AR181" s="10"/>
      <c r="AS181" s="9"/>
      <c r="AT181" s="10"/>
      <c r="AU181" s="10"/>
      <c r="AV181" s="10"/>
      <c r="AW181" s="10"/>
      <c r="AX181" s="10"/>
      <c r="AY181" s="10"/>
      <c r="AZ181" s="10"/>
      <c r="BA181" s="10"/>
      <c r="BB181" s="10"/>
      <c r="BC181" s="10"/>
      <c r="BD181" s="10"/>
      <c r="BE181" s="4"/>
      <c r="BF181" s="10"/>
      <c r="BG181" s="4"/>
      <c r="BH181" s="10"/>
      <c r="BI181" s="4"/>
      <c r="BJ181" s="10"/>
      <c r="BK181" s="4"/>
      <c r="BL181" s="10"/>
      <c r="BM181" s="4"/>
      <c r="BO181" s="4"/>
      <c r="BP181" s="10"/>
      <c r="BQ181" s="4"/>
      <c r="BR181" s="10"/>
      <c r="BS181" s="9"/>
      <c r="BT181" s="10"/>
      <c r="BU181" s="9"/>
      <c r="BV181" s="10"/>
      <c r="BW181" s="9"/>
      <c r="BX181" s="4"/>
      <c r="BY181" s="4"/>
      <c r="BZ181" s="4"/>
      <c r="CA181" s="4"/>
      <c r="CB181" s="4"/>
      <c r="CC181" s="4"/>
      <c r="CD181" s="4"/>
      <c r="CE181" s="4"/>
      <c r="CF181" s="4"/>
      <c r="CG181" s="4"/>
      <c r="CH181" s="4"/>
      <c r="CI181" s="4"/>
      <c r="CJ181" s="4"/>
      <c r="CK181" s="4"/>
      <c r="CL181" s="4"/>
      <c r="CM181" s="4"/>
      <c r="CN181" s="4"/>
      <c r="CO181" s="4"/>
      <c r="CP181" s="4"/>
      <c r="CQ181" s="4"/>
      <c r="CR181" s="4"/>
      <c r="CS181" s="4"/>
      <c r="CT181" s="4"/>
      <c r="CU181" s="4"/>
      <c r="CV181" s="4"/>
      <c r="CW181" s="4"/>
      <c r="CX181" s="4"/>
      <c r="CY181" s="4"/>
      <c r="CZ181" s="4"/>
      <c r="DA181" s="4"/>
      <c r="DB181" s="4"/>
      <c r="DC181" s="4"/>
      <c r="DD181" s="4"/>
      <c r="DE181" s="4"/>
      <c r="DF181" s="4"/>
      <c r="DG181" s="4"/>
      <c r="DH181" s="4"/>
      <c r="DI181" s="4"/>
      <c r="DJ181" s="4"/>
      <c r="DK181" s="4"/>
      <c r="DL181" s="4"/>
      <c r="DM181" s="4"/>
      <c r="DN181" s="4"/>
      <c r="DO181" s="4"/>
      <c r="DP181" s="4"/>
      <c r="DQ181" s="4"/>
      <c r="DR181" s="4"/>
      <c r="DS181" s="4"/>
      <c r="DT181" s="4"/>
    </row>
    <row r="182" spans="1:124" s="21" customFormat="1" hidden="1">
      <c r="A182" s="58"/>
      <c r="B182" s="31"/>
      <c r="J182" s="8"/>
      <c r="L182" s="141"/>
      <c r="M182" s="9"/>
      <c r="N182" s="10"/>
      <c r="O182" s="9"/>
      <c r="P182" s="10"/>
      <c r="Q182" s="9"/>
      <c r="R182" s="10"/>
      <c r="S182" s="9"/>
      <c r="T182" s="10">
        <f t="shared" ref="T182:BC182" si="37">T179-T117-T125</f>
        <v>7140000</v>
      </c>
      <c r="U182" s="10">
        <f t="shared" si="37"/>
        <v>0</v>
      </c>
      <c r="V182" s="10">
        <f t="shared" si="37"/>
        <v>1297646</v>
      </c>
      <c r="W182" s="10">
        <f t="shared" si="37"/>
        <v>0</v>
      </c>
      <c r="X182" s="10">
        <f t="shared" si="37"/>
        <v>33103293</v>
      </c>
      <c r="Y182" s="10">
        <f t="shared" si="37"/>
        <v>0</v>
      </c>
      <c r="Z182" s="10">
        <f t="shared" si="37"/>
        <v>282259</v>
      </c>
      <c r="AA182" s="10">
        <f t="shared" si="37"/>
        <v>0</v>
      </c>
      <c r="AB182" s="10">
        <f t="shared" si="37"/>
        <v>1722017</v>
      </c>
      <c r="AC182" s="10">
        <f t="shared" si="37"/>
        <v>0</v>
      </c>
      <c r="AD182" s="10">
        <f t="shared" si="37"/>
        <v>18845196.829999998</v>
      </c>
      <c r="AE182" s="10">
        <f t="shared" si="37"/>
        <v>0</v>
      </c>
      <c r="AF182" s="10">
        <f t="shared" si="37"/>
        <v>8237655.1408541668</v>
      </c>
      <c r="AG182" s="10">
        <f t="shared" si="37"/>
        <v>0</v>
      </c>
      <c r="AH182" s="10">
        <f t="shared" si="37"/>
        <v>8871230.9374601822</v>
      </c>
      <c r="AI182" s="10">
        <f t="shared" si="37"/>
        <v>0</v>
      </c>
      <c r="AJ182" s="10">
        <f t="shared" si="37"/>
        <v>6989210.1253887061</v>
      </c>
      <c r="AK182" s="10">
        <f t="shared" si="37"/>
        <v>0</v>
      </c>
      <c r="AL182" s="10">
        <f t="shared" si="37"/>
        <v>7789231.1557027698</v>
      </c>
      <c r="AM182" s="10">
        <f t="shared" si="37"/>
        <v>0</v>
      </c>
      <c r="AN182" s="10">
        <f t="shared" si="37"/>
        <v>11600775.180000002</v>
      </c>
      <c r="AO182" s="10">
        <f t="shared" si="37"/>
        <v>0</v>
      </c>
      <c r="AP182" s="10">
        <f t="shared" si="37"/>
        <v>17679120.913877048</v>
      </c>
      <c r="AQ182" s="10">
        <f t="shared" si="37"/>
        <v>0</v>
      </c>
      <c r="AR182" s="10">
        <f t="shared" si="37"/>
        <v>39304333.695295267</v>
      </c>
      <c r="AS182" s="10">
        <f t="shared" si="37"/>
        <v>0</v>
      </c>
      <c r="AT182" s="10">
        <f t="shared" si="37"/>
        <v>2943898.2559045074</v>
      </c>
      <c r="AU182" s="10">
        <f t="shared" si="37"/>
        <v>0</v>
      </c>
      <c r="AV182" s="10">
        <f t="shared" si="37"/>
        <v>29290061.258771211</v>
      </c>
      <c r="AW182" s="10">
        <f t="shared" si="37"/>
        <v>0</v>
      </c>
      <c r="AX182" s="10">
        <f t="shared" si="37"/>
        <v>23325111.284490943</v>
      </c>
      <c r="AY182" s="10">
        <f t="shared" si="37"/>
        <v>0</v>
      </c>
      <c r="AZ182" s="10">
        <f t="shared" si="37"/>
        <v>21974521.700000003</v>
      </c>
      <c r="BA182" s="10">
        <f t="shared" si="37"/>
        <v>0</v>
      </c>
      <c r="BB182" s="10">
        <f t="shared" si="37"/>
        <v>8181598.8109472161</v>
      </c>
      <c r="BC182" s="10">
        <f t="shared" si="37"/>
        <v>0</v>
      </c>
      <c r="BD182" s="10">
        <f t="shared" ref="BD182:BJ182" si="38">BD179-BD117-BD125</f>
        <v>11611326.92</v>
      </c>
      <c r="BE182" s="10">
        <f t="shared" si="38"/>
        <v>0</v>
      </c>
      <c r="BF182" s="10">
        <f t="shared" si="38"/>
        <v>1013827.0900000001</v>
      </c>
      <c r="BG182" s="10">
        <f t="shared" si="38"/>
        <v>0</v>
      </c>
      <c r="BH182" s="10">
        <f t="shared" si="38"/>
        <v>166691.41999999995</v>
      </c>
      <c r="BI182" s="10">
        <f t="shared" si="38"/>
        <v>0</v>
      </c>
      <c r="BJ182" s="10">
        <f t="shared" si="38"/>
        <v>5121888</v>
      </c>
      <c r="BK182" s="10">
        <f>BK179-BK117-BK125</f>
        <v>0</v>
      </c>
      <c r="BL182" s="10">
        <f>BL179-BL117-BL125</f>
        <v>225401</v>
      </c>
      <c r="BM182" s="4"/>
      <c r="BO182" s="4"/>
      <c r="BP182" s="10"/>
      <c r="BQ182" s="4"/>
      <c r="BR182" s="10"/>
      <c r="BS182" s="9"/>
      <c r="BT182" s="10"/>
      <c r="BU182" s="9"/>
      <c r="BV182" s="10"/>
      <c r="BW182" s="9"/>
      <c r="BX182" s="4"/>
      <c r="BY182" s="4"/>
      <c r="BZ182" s="4"/>
      <c r="CA182" s="4"/>
      <c r="CB182" s="4"/>
      <c r="CC182" s="4"/>
      <c r="CD182" s="4"/>
      <c r="CE182" s="4"/>
      <c r="CF182" s="4"/>
      <c r="CG182" s="4"/>
      <c r="CH182" s="4"/>
      <c r="CI182" s="4"/>
      <c r="CJ182" s="4"/>
      <c r="CK182" s="4"/>
      <c r="CL182" s="4"/>
      <c r="CM182" s="4"/>
      <c r="CN182" s="4"/>
      <c r="CO182" s="4"/>
      <c r="CP182" s="4"/>
      <c r="CQ182" s="4"/>
      <c r="CR182" s="4"/>
      <c r="CS182" s="4"/>
      <c r="CT182" s="4"/>
      <c r="CU182" s="4"/>
      <c r="CV182" s="4"/>
      <c r="CW182" s="4"/>
      <c r="CX182" s="4"/>
      <c r="CY182" s="4"/>
      <c r="CZ182" s="4"/>
      <c r="DA182" s="4"/>
      <c r="DB182" s="4"/>
      <c r="DC182" s="4"/>
      <c r="DD182" s="4"/>
      <c r="DE182" s="4"/>
      <c r="DF182" s="4"/>
      <c r="DG182" s="4"/>
      <c r="DH182" s="4"/>
      <c r="DI182" s="4"/>
      <c r="DJ182" s="4"/>
      <c r="DK182" s="4"/>
      <c r="DL182" s="4"/>
      <c r="DM182" s="4"/>
      <c r="DN182" s="4"/>
      <c r="DO182" s="4"/>
      <c r="DP182" s="4"/>
      <c r="DQ182" s="4"/>
      <c r="DR182" s="4"/>
      <c r="DS182" s="4"/>
      <c r="DT182" s="4"/>
    </row>
    <row r="183" spans="1:124" s="21" customFormat="1" hidden="1">
      <c r="A183" s="58"/>
      <c r="B183" s="31"/>
      <c r="J183" s="8"/>
      <c r="L183" s="141"/>
      <c r="M183" s="9"/>
      <c r="N183" s="10"/>
      <c r="O183" s="9"/>
      <c r="P183" s="10"/>
      <c r="Q183" s="9"/>
      <c r="R183" s="10"/>
      <c r="S183" s="9"/>
      <c r="T183" s="10"/>
      <c r="U183" s="9"/>
      <c r="V183" s="10"/>
      <c r="W183" s="9"/>
      <c r="X183" s="10"/>
      <c r="Y183" s="9"/>
      <c r="Z183" s="10"/>
      <c r="AA183" s="9"/>
      <c r="AB183" s="10"/>
      <c r="AC183" s="9"/>
      <c r="AD183" s="10"/>
      <c r="AE183" s="9"/>
      <c r="AF183" s="10"/>
      <c r="AG183" s="9"/>
      <c r="AH183" s="10"/>
      <c r="AI183" s="4"/>
      <c r="AJ183" s="10"/>
      <c r="AK183" s="4"/>
      <c r="AL183" s="10"/>
      <c r="AM183" s="4"/>
      <c r="AN183" s="10"/>
      <c r="AO183" s="9"/>
      <c r="AP183" s="10"/>
      <c r="AQ183" s="9"/>
      <c r="AR183" s="10"/>
      <c r="AS183" s="9"/>
      <c r="AT183" s="10"/>
      <c r="AU183" s="10"/>
      <c r="AV183" s="10"/>
      <c r="AW183" s="10"/>
      <c r="AX183" s="10"/>
      <c r="AY183" s="10"/>
      <c r="AZ183" s="10"/>
      <c r="BA183" s="10"/>
      <c r="BB183" s="10"/>
      <c r="BC183" s="10"/>
      <c r="BD183" s="10"/>
      <c r="BE183" s="4"/>
      <c r="BF183" s="10"/>
      <c r="BG183" s="4"/>
      <c r="BH183" s="10"/>
      <c r="BI183" s="4"/>
      <c r="BJ183" s="10"/>
      <c r="BK183" s="4"/>
      <c r="BL183" s="10" t="s">
        <v>438</v>
      </c>
      <c r="BM183" s="4"/>
      <c r="BN183" s="10">
        <f>-BN125</f>
        <v>-505702.68999999994</v>
      </c>
      <c r="BO183" s="4"/>
      <c r="BP183" s="10"/>
      <c r="BQ183" s="4"/>
      <c r="BR183" s="10"/>
      <c r="BS183" s="9"/>
      <c r="BT183" s="10"/>
      <c r="BU183" s="9"/>
      <c r="BV183" s="10"/>
      <c r="BW183" s="9"/>
      <c r="BX183" s="4"/>
      <c r="BY183" s="4"/>
      <c r="BZ183" s="4"/>
      <c r="CA183" s="4"/>
      <c r="CB183" s="4"/>
      <c r="CC183" s="4"/>
      <c r="CD183" s="4"/>
      <c r="CE183" s="4"/>
      <c r="CF183" s="4"/>
      <c r="CG183" s="4"/>
      <c r="CH183" s="4"/>
      <c r="CI183" s="4"/>
      <c r="CJ183" s="4"/>
      <c r="CK183" s="4"/>
      <c r="CL183" s="4"/>
      <c r="CM183" s="4"/>
      <c r="CN183" s="4"/>
      <c r="CO183" s="4"/>
      <c r="CP183" s="4"/>
      <c r="CQ183" s="4"/>
      <c r="CR183" s="4"/>
      <c r="CS183" s="4"/>
      <c r="CT183" s="4"/>
      <c r="CU183" s="4"/>
      <c r="CV183" s="4"/>
      <c r="CW183" s="4"/>
      <c r="CX183" s="4"/>
      <c r="CY183" s="4"/>
      <c r="CZ183" s="4"/>
      <c r="DA183" s="4"/>
      <c r="DB183" s="4"/>
      <c r="DC183" s="4"/>
      <c r="DD183" s="4"/>
      <c r="DE183" s="4"/>
      <c r="DF183" s="4"/>
      <c r="DG183" s="4"/>
      <c r="DH183" s="4"/>
      <c r="DI183" s="4"/>
      <c r="DJ183" s="4"/>
      <c r="DK183" s="4"/>
      <c r="DL183" s="4"/>
      <c r="DM183" s="4"/>
      <c r="DN183" s="4"/>
      <c r="DO183" s="4"/>
      <c r="DP183" s="4"/>
      <c r="DQ183" s="4"/>
      <c r="DR183" s="4"/>
      <c r="DS183" s="4"/>
      <c r="DT183" s="4"/>
    </row>
    <row r="184" spans="1:124" s="21" customFormat="1" hidden="1">
      <c r="A184" s="58"/>
      <c r="B184" s="31"/>
      <c r="J184" s="8"/>
      <c r="L184" s="141"/>
      <c r="M184" s="9"/>
      <c r="N184" s="10"/>
      <c r="O184" s="9"/>
      <c r="P184" s="10"/>
      <c r="Q184" s="9"/>
      <c r="R184" s="10"/>
      <c r="S184" s="9"/>
      <c r="T184" s="10"/>
      <c r="U184" s="9"/>
      <c r="V184" s="10"/>
      <c r="W184" s="9"/>
      <c r="X184" s="10"/>
      <c r="Y184" s="9"/>
      <c r="Z184" s="10"/>
      <c r="AA184" s="9"/>
      <c r="AB184" s="10"/>
      <c r="AC184" s="9"/>
      <c r="AD184" s="10"/>
      <c r="AE184" s="9"/>
      <c r="AF184" s="10"/>
      <c r="AG184" s="9"/>
      <c r="AH184" s="10"/>
      <c r="AI184" s="4"/>
      <c r="AJ184" s="10"/>
      <c r="AK184" s="4"/>
      <c r="AL184" s="10"/>
      <c r="AM184" s="4"/>
      <c r="AN184" s="10"/>
      <c r="AO184" s="9"/>
      <c r="AP184" s="10"/>
      <c r="AQ184" s="9"/>
      <c r="AR184" s="10"/>
      <c r="AS184" s="9"/>
      <c r="AT184" s="10"/>
      <c r="AU184" s="10"/>
      <c r="AV184" s="10"/>
      <c r="AW184" s="10"/>
      <c r="AX184" s="10"/>
      <c r="AY184" s="10"/>
      <c r="AZ184" s="10"/>
      <c r="BA184" s="10"/>
      <c r="BB184" s="10"/>
      <c r="BC184" s="10"/>
      <c r="BD184" s="10"/>
      <c r="BE184" s="4"/>
      <c r="BF184" s="10"/>
      <c r="BG184" s="4"/>
      <c r="BH184" s="10"/>
      <c r="BI184" s="4"/>
      <c r="BJ184" s="10"/>
      <c r="BK184" s="4"/>
      <c r="BL184" s="10" t="s">
        <v>439</v>
      </c>
      <c r="BM184" s="4"/>
      <c r="BN184" s="10">
        <f>-BN117</f>
        <v>-912028.62000000011</v>
      </c>
      <c r="BO184" s="4"/>
      <c r="BP184" s="10"/>
      <c r="BQ184" s="4"/>
      <c r="BR184" s="10"/>
      <c r="BS184" s="9"/>
      <c r="BT184" s="10"/>
      <c r="BU184" s="9"/>
      <c r="BV184" s="10"/>
      <c r="BW184" s="9"/>
      <c r="BX184" s="4"/>
      <c r="BY184" s="4"/>
      <c r="BZ184" s="4"/>
      <c r="CA184" s="4"/>
      <c r="CB184" s="4"/>
      <c r="CC184" s="4"/>
      <c r="CD184" s="4"/>
      <c r="CE184" s="4"/>
      <c r="CF184" s="4"/>
      <c r="CG184" s="4"/>
      <c r="CH184" s="4"/>
      <c r="CI184" s="4"/>
      <c r="CJ184" s="4"/>
      <c r="CK184" s="4"/>
      <c r="CL184" s="4"/>
      <c r="CM184" s="4"/>
      <c r="CN184" s="4"/>
      <c r="CO184" s="4"/>
      <c r="CP184" s="4"/>
      <c r="CQ184" s="4"/>
      <c r="CR184" s="4"/>
      <c r="CS184" s="4"/>
      <c r="CT184" s="4"/>
      <c r="CU184" s="4"/>
      <c r="CV184" s="4"/>
      <c r="CW184" s="4"/>
      <c r="CX184" s="4"/>
      <c r="CY184" s="4"/>
      <c r="CZ184" s="4"/>
      <c r="DA184" s="4"/>
      <c r="DB184" s="4"/>
      <c r="DC184" s="4"/>
      <c r="DD184" s="4"/>
      <c r="DE184" s="4"/>
      <c r="DF184" s="4"/>
      <c r="DG184" s="4"/>
      <c r="DH184" s="4"/>
      <c r="DI184" s="4"/>
      <c r="DJ184" s="4"/>
      <c r="DK184" s="4"/>
      <c r="DL184" s="4"/>
      <c r="DM184" s="4"/>
      <c r="DN184" s="4"/>
      <c r="DO184" s="4"/>
      <c r="DP184" s="4"/>
      <c r="DQ184" s="4"/>
      <c r="DR184" s="4"/>
      <c r="DS184" s="4"/>
      <c r="DT184" s="4"/>
    </row>
    <row r="185" spans="1:124" s="21" customFormat="1" hidden="1">
      <c r="A185" s="58"/>
      <c r="B185" s="31"/>
      <c r="J185" s="8"/>
      <c r="L185" s="141"/>
      <c r="M185" s="9"/>
      <c r="N185" s="10"/>
      <c r="O185" s="9"/>
      <c r="P185" s="10"/>
      <c r="Q185" s="9"/>
      <c r="R185" s="10"/>
      <c r="S185" s="9"/>
      <c r="T185" s="10"/>
      <c r="U185" s="9"/>
      <c r="V185" s="10"/>
      <c r="W185" s="9"/>
      <c r="X185" s="10"/>
      <c r="Y185" s="9"/>
      <c r="Z185" s="10"/>
      <c r="AA185" s="9"/>
      <c r="AB185" s="10"/>
      <c r="AC185" s="9"/>
      <c r="AD185" s="10"/>
      <c r="AE185" s="9"/>
      <c r="AF185" s="10"/>
      <c r="AG185" s="9"/>
      <c r="AH185" s="10"/>
      <c r="AI185" s="4"/>
      <c r="AJ185" s="10"/>
      <c r="AK185" s="4"/>
      <c r="AL185" s="10"/>
      <c r="AM185" s="4"/>
      <c r="AN185" s="10"/>
      <c r="AO185" s="9"/>
      <c r="AP185" s="10"/>
      <c r="AQ185" s="9"/>
      <c r="AR185" s="10"/>
      <c r="AS185" s="9"/>
      <c r="AT185" s="10"/>
      <c r="AU185" s="10"/>
      <c r="AV185" s="10"/>
      <c r="AW185" s="10"/>
      <c r="AX185" s="10"/>
      <c r="AY185" s="10"/>
      <c r="AZ185" s="10"/>
      <c r="BA185" s="10"/>
      <c r="BB185" s="10"/>
      <c r="BC185" s="10"/>
      <c r="BD185" s="10"/>
      <c r="BE185" s="4"/>
      <c r="BF185" s="10"/>
      <c r="BG185" s="4"/>
      <c r="BH185" s="10"/>
      <c r="BI185" s="4"/>
      <c r="BJ185" s="10"/>
      <c r="BK185" s="4"/>
      <c r="BL185" s="10" t="s">
        <v>443</v>
      </c>
      <c r="BM185" s="4"/>
      <c r="BN185" s="10">
        <v>0</v>
      </c>
      <c r="BO185" s="4"/>
      <c r="BP185" s="10"/>
      <c r="BQ185" s="4"/>
      <c r="BR185" s="10"/>
      <c r="BS185" s="9"/>
      <c r="BT185" s="10"/>
      <c r="BU185" s="9"/>
      <c r="BV185" s="10"/>
      <c r="BW185" s="9"/>
      <c r="BX185" s="4"/>
      <c r="BY185" s="4"/>
      <c r="BZ185" s="4"/>
      <c r="CA185" s="4"/>
      <c r="CB185" s="4"/>
      <c r="CC185" s="4"/>
      <c r="CD185" s="4"/>
      <c r="CE185" s="4"/>
      <c r="CF185" s="4"/>
      <c r="CG185" s="4"/>
      <c r="CH185" s="4"/>
      <c r="CI185" s="4"/>
      <c r="CJ185" s="4"/>
      <c r="CK185" s="4"/>
      <c r="CL185" s="4"/>
      <c r="CM185" s="4"/>
      <c r="CN185" s="4"/>
      <c r="CO185" s="4"/>
      <c r="CP185" s="4"/>
      <c r="CQ185" s="4"/>
      <c r="CR185" s="4"/>
      <c r="CS185" s="4"/>
      <c r="CT185" s="4"/>
      <c r="CU185" s="4"/>
      <c r="CV185" s="4"/>
      <c r="CW185" s="4"/>
      <c r="CX185" s="4"/>
      <c r="CY185" s="4"/>
      <c r="CZ185" s="4"/>
      <c r="DA185" s="4"/>
      <c r="DB185" s="4"/>
      <c r="DC185" s="4"/>
      <c r="DD185" s="4"/>
      <c r="DE185" s="4"/>
      <c r="DF185" s="4"/>
      <c r="DG185" s="4"/>
      <c r="DH185" s="4"/>
      <c r="DI185" s="4"/>
      <c r="DJ185" s="4"/>
      <c r="DK185" s="4"/>
      <c r="DL185" s="4"/>
      <c r="DM185" s="4"/>
      <c r="DN185" s="4"/>
      <c r="DO185" s="4"/>
      <c r="DP185" s="4"/>
      <c r="DQ185" s="4"/>
      <c r="DR185" s="4"/>
      <c r="DS185" s="4"/>
      <c r="DT185" s="4"/>
    </row>
    <row r="186" spans="1:124" s="21" customFormat="1" hidden="1">
      <c r="A186" s="58"/>
      <c r="B186" s="31"/>
      <c r="J186" s="8"/>
      <c r="L186" s="141"/>
      <c r="M186" s="9"/>
      <c r="N186" s="10"/>
      <c r="O186" s="9"/>
      <c r="P186" s="10"/>
      <c r="Q186" s="9"/>
      <c r="R186" s="10"/>
      <c r="S186" s="9"/>
      <c r="T186" s="10"/>
      <c r="U186" s="9"/>
      <c r="V186" s="10"/>
      <c r="W186" s="9"/>
      <c r="X186" s="10"/>
      <c r="Y186" s="9"/>
      <c r="Z186" s="10"/>
      <c r="AA186" s="9"/>
      <c r="AB186" s="10"/>
      <c r="AC186" s="9"/>
      <c r="AD186" s="10"/>
      <c r="AE186" s="9"/>
      <c r="AF186" s="10"/>
      <c r="AG186" s="9"/>
      <c r="AH186" s="10"/>
      <c r="AI186" s="4"/>
      <c r="AJ186" s="10"/>
      <c r="AK186" s="4"/>
      <c r="AL186" s="10"/>
      <c r="AM186" s="4"/>
      <c r="AN186" s="10"/>
      <c r="AO186" s="9"/>
      <c r="AP186" s="10"/>
      <c r="AQ186" s="9"/>
      <c r="AR186" s="10"/>
      <c r="AS186" s="9"/>
      <c r="AT186" s="10"/>
      <c r="AU186" s="10"/>
      <c r="AV186" s="10"/>
      <c r="AW186" s="10"/>
      <c r="AX186" s="10"/>
      <c r="AY186" s="10"/>
      <c r="AZ186" s="10"/>
      <c r="BA186" s="10"/>
      <c r="BB186" s="10"/>
      <c r="BC186" s="10"/>
      <c r="BD186" s="10"/>
      <c r="BE186" s="4"/>
      <c r="BF186" s="10"/>
      <c r="BG186" s="4"/>
      <c r="BH186" s="10"/>
      <c r="BI186" s="4"/>
      <c r="BK186" s="4"/>
      <c r="BL186" s="21" t="s">
        <v>440</v>
      </c>
      <c r="BM186" s="4"/>
      <c r="BN186" s="10">
        <v>-426646</v>
      </c>
      <c r="BO186" s="4"/>
      <c r="BP186" s="10"/>
      <c r="BQ186" s="4"/>
      <c r="BR186" s="10"/>
      <c r="BS186" s="9"/>
      <c r="BT186" s="10"/>
      <c r="BU186" s="9"/>
      <c r="BV186" s="10"/>
      <c r="BW186" s="9"/>
      <c r="BX186" s="4"/>
      <c r="BY186" s="4"/>
      <c r="BZ186" s="4"/>
      <c r="CA186" s="4"/>
      <c r="CB186" s="4"/>
      <c r="CC186" s="4"/>
      <c r="CD186" s="4"/>
      <c r="CE186" s="4"/>
      <c r="CF186" s="4"/>
      <c r="CG186" s="4"/>
      <c r="CH186" s="4"/>
      <c r="CI186" s="4"/>
      <c r="CJ186" s="4"/>
      <c r="CK186" s="4"/>
      <c r="CL186" s="4"/>
      <c r="CM186" s="4"/>
      <c r="CN186" s="4"/>
      <c r="CO186" s="4"/>
      <c r="CP186" s="4"/>
      <c r="CQ186" s="4"/>
      <c r="CR186" s="4"/>
      <c r="CS186" s="4"/>
      <c r="CT186" s="4"/>
      <c r="CU186" s="4"/>
      <c r="CV186" s="4"/>
      <c r="CW186" s="4"/>
      <c r="CX186" s="4"/>
      <c r="CY186" s="4"/>
      <c r="CZ186" s="4"/>
      <c r="DA186" s="4"/>
      <c r="DB186" s="4"/>
      <c r="DC186" s="4"/>
      <c r="DD186" s="4"/>
      <c r="DE186" s="4"/>
      <c r="DF186" s="4"/>
      <c r="DG186" s="4"/>
      <c r="DH186" s="4"/>
      <c r="DI186" s="4"/>
      <c r="DJ186" s="4"/>
      <c r="DK186" s="4"/>
      <c r="DL186" s="4"/>
      <c r="DM186" s="4"/>
      <c r="DN186" s="4"/>
      <c r="DO186" s="4"/>
      <c r="DP186" s="4"/>
      <c r="DQ186" s="4"/>
      <c r="DR186" s="4"/>
      <c r="DS186" s="4"/>
      <c r="DT186" s="4"/>
    </row>
    <row r="187" spans="1:124" s="21" customFormat="1" hidden="1">
      <c r="A187" s="58"/>
      <c r="B187" s="31"/>
      <c r="J187" s="8"/>
      <c r="L187" s="141"/>
      <c r="M187" s="9"/>
      <c r="N187" s="10"/>
      <c r="O187" s="9"/>
      <c r="P187" s="10"/>
      <c r="Q187" s="9"/>
      <c r="R187" s="10"/>
      <c r="S187" s="9"/>
      <c r="T187" s="10"/>
      <c r="U187" s="9"/>
      <c r="V187" s="10"/>
      <c r="W187" s="9"/>
      <c r="X187" s="10"/>
      <c r="Y187" s="9"/>
      <c r="Z187" s="10"/>
      <c r="AA187" s="9"/>
      <c r="AB187" s="10"/>
      <c r="AC187" s="9"/>
      <c r="AD187" s="10"/>
      <c r="AE187" s="9"/>
      <c r="AF187" s="10"/>
      <c r="AG187" s="9"/>
      <c r="AH187" s="10"/>
      <c r="AI187" s="4"/>
      <c r="AJ187" s="10"/>
      <c r="AK187" s="4"/>
      <c r="AL187" s="10"/>
      <c r="AM187" s="4"/>
      <c r="AN187" s="10"/>
      <c r="AO187" s="9"/>
      <c r="AP187" s="10"/>
      <c r="AQ187" s="9"/>
      <c r="AR187" s="10"/>
      <c r="AS187" s="9"/>
      <c r="AT187" s="10"/>
      <c r="AU187" s="10"/>
      <c r="AV187" s="10"/>
      <c r="AW187" s="10"/>
      <c r="AX187" s="10"/>
      <c r="AY187" s="10"/>
      <c r="AZ187" s="10"/>
      <c r="BA187" s="10"/>
      <c r="BB187" s="10"/>
      <c r="BC187" s="10"/>
      <c r="BD187" s="10"/>
      <c r="BE187" s="4"/>
      <c r="BF187" s="10"/>
      <c r="BG187" s="4"/>
      <c r="BH187" s="10"/>
      <c r="BI187" s="4"/>
      <c r="BK187" s="4"/>
      <c r="BL187" s="21" t="s">
        <v>455</v>
      </c>
      <c r="BM187" s="4"/>
      <c r="BN187" s="10">
        <f>-BL179</f>
        <v>-245540</v>
      </c>
      <c r="BO187" s="4"/>
      <c r="BP187" s="10"/>
      <c r="BQ187" s="4"/>
      <c r="BR187" s="10"/>
      <c r="BS187" s="9"/>
      <c r="BT187" s="10"/>
      <c r="BU187" s="9"/>
      <c r="BV187" s="10"/>
      <c r="BW187" s="9"/>
      <c r="BX187" s="4"/>
      <c r="BY187" s="4"/>
      <c r="BZ187" s="4"/>
      <c r="CA187" s="4"/>
      <c r="CB187" s="4"/>
      <c r="CC187" s="4"/>
      <c r="CD187" s="4"/>
      <c r="CE187" s="4"/>
      <c r="CF187" s="4"/>
      <c r="CG187" s="4"/>
      <c r="CH187" s="4"/>
      <c r="CI187" s="4"/>
      <c r="CJ187" s="4"/>
      <c r="CK187" s="4"/>
      <c r="CL187" s="4"/>
      <c r="CM187" s="4"/>
      <c r="CN187" s="4"/>
      <c r="CO187" s="4"/>
      <c r="CP187" s="4"/>
      <c r="CQ187" s="4"/>
      <c r="CR187" s="4"/>
      <c r="CS187" s="4"/>
      <c r="CT187" s="4"/>
      <c r="CU187" s="4"/>
      <c r="CV187" s="4"/>
      <c r="CW187" s="4"/>
      <c r="CX187" s="4"/>
      <c r="CY187" s="4"/>
      <c r="CZ187" s="4"/>
      <c r="DA187" s="4"/>
      <c r="DB187" s="4"/>
      <c r="DC187" s="4"/>
      <c r="DD187" s="4"/>
      <c r="DE187" s="4"/>
      <c r="DF187" s="4"/>
      <c r="DG187" s="4"/>
      <c r="DH187" s="4"/>
      <c r="DI187" s="4"/>
      <c r="DJ187" s="4"/>
      <c r="DK187" s="4"/>
      <c r="DL187" s="4"/>
      <c r="DM187" s="4"/>
      <c r="DN187" s="4"/>
      <c r="DO187" s="4"/>
      <c r="DP187" s="4"/>
      <c r="DQ187" s="4"/>
      <c r="DR187" s="4"/>
      <c r="DS187" s="4"/>
      <c r="DT187" s="4"/>
    </row>
    <row r="188" spans="1:124" s="21" customFormat="1" hidden="1">
      <c r="A188" s="58"/>
      <c r="B188" s="31"/>
      <c r="J188" s="8"/>
      <c r="L188" s="141"/>
      <c r="M188" s="9"/>
      <c r="N188" s="10"/>
      <c r="O188" s="9"/>
      <c r="P188" s="10"/>
      <c r="Q188" s="9"/>
      <c r="R188" s="10"/>
      <c r="S188" s="9"/>
      <c r="T188" s="10"/>
      <c r="U188" s="9"/>
      <c r="V188" s="10"/>
      <c r="W188" s="9"/>
      <c r="X188" s="10"/>
      <c r="Y188" s="9"/>
      <c r="Z188" s="10"/>
      <c r="AA188" s="9"/>
      <c r="AB188" s="10"/>
      <c r="AC188" s="9"/>
      <c r="AD188" s="10"/>
      <c r="AE188" s="9"/>
      <c r="AF188" s="10"/>
      <c r="AG188" s="9"/>
      <c r="AH188" s="10"/>
      <c r="AI188" s="4"/>
      <c r="AJ188" s="10"/>
      <c r="AK188" s="4"/>
      <c r="AL188" s="10"/>
      <c r="AM188" s="4"/>
      <c r="AN188" s="10"/>
      <c r="AO188" s="9"/>
      <c r="AP188" s="10"/>
      <c r="AQ188" s="9"/>
      <c r="AR188" s="10"/>
      <c r="AS188" s="9"/>
      <c r="AT188" s="10"/>
      <c r="AU188" s="10"/>
      <c r="AV188" s="10"/>
      <c r="AW188" s="10"/>
      <c r="AX188" s="10"/>
      <c r="AY188" s="10"/>
      <c r="AZ188" s="10"/>
      <c r="BA188" s="10"/>
      <c r="BB188" s="10"/>
      <c r="BC188" s="10"/>
      <c r="BD188" s="10"/>
      <c r="BE188" s="4"/>
      <c r="BF188" s="10"/>
      <c r="BG188" s="4"/>
      <c r="BH188" s="10"/>
      <c r="BI188" s="4"/>
      <c r="BJ188" s="10"/>
      <c r="BK188" s="4"/>
      <c r="BL188" s="10"/>
      <c r="BM188" s="4"/>
      <c r="BN188" s="10">
        <f>SUM(BN179:BN187)</f>
        <v>266044108.71869203</v>
      </c>
      <c r="BO188" s="4"/>
      <c r="BP188" s="10"/>
      <c r="BQ188" s="4"/>
      <c r="BR188" s="10"/>
      <c r="BS188" s="9"/>
      <c r="BT188" s="10"/>
      <c r="BU188" s="9"/>
      <c r="BV188" s="10"/>
      <c r="BW188" s="9"/>
      <c r="BX188" s="4"/>
      <c r="BY188" s="4"/>
      <c r="BZ188" s="4"/>
      <c r="CA188" s="4"/>
      <c r="CB188" s="4"/>
      <c r="CC188" s="4"/>
      <c r="CD188" s="4"/>
      <c r="CE188" s="4"/>
      <c r="CF188" s="4"/>
      <c r="CG188" s="4"/>
      <c r="CH188" s="4"/>
      <c r="CI188" s="4"/>
      <c r="CJ188" s="4"/>
      <c r="CK188" s="4"/>
      <c r="CL188" s="4"/>
      <c r="CM188" s="4"/>
      <c r="CN188" s="4"/>
      <c r="CO188" s="4"/>
      <c r="CP188" s="4"/>
      <c r="CQ188" s="4"/>
      <c r="CR188" s="4"/>
      <c r="CS188" s="4"/>
      <c r="CT188" s="4"/>
      <c r="CU188" s="4"/>
      <c r="CV188" s="4"/>
      <c r="CW188" s="4"/>
      <c r="CX188" s="4"/>
      <c r="CY188" s="4"/>
      <c r="CZ188" s="4"/>
      <c r="DA188" s="4"/>
      <c r="DB188" s="4"/>
      <c r="DC188" s="4"/>
      <c r="DD188" s="4"/>
      <c r="DE188" s="4"/>
      <c r="DF188" s="4"/>
      <c r="DG188" s="4"/>
      <c r="DH188" s="4"/>
      <c r="DI188" s="4"/>
      <c r="DJ188" s="4"/>
      <c r="DK188" s="4"/>
      <c r="DL188" s="4"/>
      <c r="DM188" s="4"/>
      <c r="DN188" s="4"/>
      <c r="DO188" s="4"/>
      <c r="DP188" s="4"/>
      <c r="DQ188" s="4"/>
      <c r="DR188" s="4"/>
      <c r="DS188" s="4"/>
      <c r="DT188" s="4"/>
    </row>
    <row r="189" spans="1:124" s="21" customFormat="1" hidden="1">
      <c r="A189" s="58"/>
      <c r="B189" s="31"/>
      <c r="J189" s="8"/>
      <c r="L189" s="141"/>
      <c r="M189" s="9"/>
      <c r="N189" s="10"/>
      <c r="O189" s="9"/>
      <c r="P189" s="10"/>
      <c r="Q189" s="9"/>
      <c r="R189" s="10"/>
      <c r="S189" s="9"/>
      <c r="T189" s="10"/>
      <c r="U189" s="9"/>
      <c r="V189" s="10"/>
      <c r="W189" s="9"/>
      <c r="X189" s="10"/>
      <c r="Y189" s="9"/>
      <c r="Z189" s="10"/>
      <c r="AA189" s="9"/>
      <c r="AB189" s="10"/>
      <c r="AC189" s="9"/>
      <c r="AD189" s="10"/>
      <c r="AE189" s="9"/>
      <c r="AF189" s="10"/>
      <c r="AG189" s="9"/>
      <c r="AH189" s="10"/>
      <c r="AI189" s="4"/>
      <c r="AJ189" s="10"/>
      <c r="AK189" s="4"/>
      <c r="AL189" s="10"/>
      <c r="AM189" s="4"/>
      <c r="AN189" s="10"/>
      <c r="AO189" s="9"/>
      <c r="AP189" s="10"/>
      <c r="AQ189" s="9"/>
      <c r="AR189" s="10"/>
      <c r="AS189" s="9"/>
      <c r="AT189" s="10"/>
      <c r="AU189" s="10"/>
      <c r="AV189" s="10"/>
      <c r="AW189" s="10"/>
      <c r="AX189" s="10"/>
      <c r="AY189" s="10"/>
      <c r="AZ189" s="10"/>
      <c r="BA189" s="10"/>
      <c r="BB189" s="10"/>
      <c r="BC189" s="10"/>
      <c r="BD189" s="10"/>
      <c r="BE189" s="4"/>
      <c r="BF189" s="10"/>
      <c r="BG189" s="4"/>
      <c r="BH189" s="10"/>
      <c r="BI189" s="4"/>
      <c r="BJ189" s="10"/>
      <c r="BK189" s="4"/>
      <c r="BL189" s="10"/>
      <c r="BM189" s="4"/>
      <c r="BN189" s="10"/>
      <c r="BO189" s="4"/>
      <c r="BP189" s="10"/>
      <c r="BQ189" s="4"/>
      <c r="BR189" s="10"/>
      <c r="BS189" s="9"/>
      <c r="BT189" s="10"/>
      <c r="BU189" s="9"/>
      <c r="BV189" s="10"/>
      <c r="BW189" s="9"/>
      <c r="BX189" s="4"/>
      <c r="BY189" s="4"/>
      <c r="BZ189" s="4"/>
      <c r="CA189" s="4"/>
      <c r="CB189" s="4"/>
      <c r="CC189" s="4"/>
      <c r="CD189" s="4"/>
      <c r="CE189" s="4"/>
      <c r="CF189" s="4"/>
      <c r="CG189" s="4"/>
      <c r="CH189" s="4"/>
      <c r="CI189" s="4"/>
      <c r="CJ189" s="4"/>
      <c r="CK189" s="4"/>
      <c r="CL189" s="4"/>
      <c r="CM189" s="4"/>
      <c r="CN189" s="4"/>
      <c r="CO189" s="4"/>
      <c r="CP189" s="4"/>
      <c r="CQ189" s="4"/>
      <c r="CR189" s="4"/>
      <c r="CS189" s="4"/>
      <c r="CT189" s="4"/>
      <c r="CU189" s="4"/>
      <c r="CV189" s="4"/>
      <c r="CW189" s="4"/>
      <c r="CX189" s="4"/>
      <c r="CY189" s="4"/>
      <c r="CZ189" s="4"/>
      <c r="DA189" s="4"/>
      <c r="DB189" s="4"/>
      <c r="DC189" s="4"/>
      <c r="DD189" s="4"/>
      <c r="DE189" s="4"/>
      <c r="DF189" s="4"/>
      <c r="DG189" s="4"/>
      <c r="DH189" s="4"/>
      <c r="DI189" s="4"/>
      <c r="DJ189" s="4"/>
      <c r="DK189" s="4"/>
      <c r="DL189" s="4"/>
      <c r="DM189" s="4"/>
      <c r="DN189" s="4"/>
      <c r="DO189" s="4"/>
      <c r="DP189" s="4"/>
      <c r="DQ189" s="4"/>
      <c r="DR189" s="4"/>
      <c r="DS189" s="4"/>
      <c r="DT189" s="4"/>
    </row>
    <row r="190" spans="1:124" s="21" customFormat="1" hidden="1">
      <c r="A190" s="58"/>
      <c r="B190" s="31"/>
      <c r="J190" s="8"/>
      <c r="L190" s="141"/>
      <c r="M190" s="9"/>
      <c r="N190" s="10"/>
      <c r="O190" s="9"/>
      <c r="P190" s="10"/>
      <c r="Q190" s="9"/>
      <c r="R190" s="10"/>
      <c r="S190" s="9"/>
      <c r="T190" s="10"/>
      <c r="U190" s="9"/>
      <c r="V190" s="10"/>
      <c r="W190" s="9"/>
      <c r="X190" s="10"/>
      <c r="Y190" s="9"/>
      <c r="Z190" s="10"/>
      <c r="AA190" s="9"/>
      <c r="AB190" s="10"/>
      <c r="AC190" s="9"/>
      <c r="AD190" s="10"/>
      <c r="AE190" s="9"/>
      <c r="AF190" s="10"/>
      <c r="AG190" s="9"/>
      <c r="AH190" s="10"/>
      <c r="AI190" s="4"/>
      <c r="AJ190" s="10"/>
      <c r="AK190" s="4"/>
      <c r="AL190" s="10"/>
      <c r="AM190" s="4"/>
      <c r="AN190" s="10"/>
      <c r="AO190" s="9"/>
      <c r="AP190" s="10"/>
      <c r="AQ190" s="9"/>
      <c r="AR190" s="10"/>
      <c r="AS190" s="9"/>
      <c r="AT190" s="10"/>
      <c r="AU190" s="10"/>
      <c r="AV190" s="10"/>
      <c r="AW190" s="10"/>
      <c r="AX190" s="10"/>
      <c r="AY190" s="10"/>
      <c r="AZ190" s="10"/>
      <c r="BA190" s="10"/>
      <c r="BB190" s="10"/>
      <c r="BC190" s="10"/>
      <c r="BD190" s="10"/>
      <c r="BE190" s="4"/>
      <c r="BF190" s="10"/>
      <c r="BG190" s="4"/>
      <c r="BH190" s="10"/>
      <c r="BI190" s="4"/>
      <c r="BJ190" s="10"/>
      <c r="BK190" s="4"/>
      <c r="BL190" s="10" t="s">
        <v>437</v>
      </c>
      <c r="BM190" s="4"/>
      <c r="BN190" s="10">
        <f>166825538+99238710</f>
        <v>266064248</v>
      </c>
      <c r="BO190" s="4"/>
      <c r="BP190" s="10"/>
      <c r="BQ190" s="4"/>
      <c r="BR190" s="10"/>
      <c r="BS190" s="9"/>
      <c r="BT190" s="10"/>
      <c r="BU190" s="9"/>
      <c r="BV190" s="10"/>
      <c r="BW190" s="9"/>
      <c r="BX190" s="4"/>
      <c r="BY190" s="4"/>
      <c r="BZ190" s="4"/>
      <c r="CA190" s="4"/>
      <c r="CB190" s="4"/>
      <c r="CC190" s="4"/>
      <c r="CD190" s="4"/>
      <c r="CE190" s="4"/>
      <c r="CF190" s="4"/>
      <c r="CG190" s="4"/>
      <c r="CH190" s="4"/>
      <c r="CI190" s="4"/>
      <c r="CJ190" s="4"/>
      <c r="CK190" s="4"/>
      <c r="CL190" s="4"/>
      <c r="CM190" s="4"/>
      <c r="CN190" s="4"/>
      <c r="CO190" s="4"/>
      <c r="CP190" s="4"/>
      <c r="CQ190" s="4"/>
      <c r="CR190" s="4"/>
      <c r="CS190" s="4"/>
      <c r="CT190" s="4"/>
      <c r="CU190" s="4"/>
      <c r="CV190" s="4"/>
      <c r="CW190" s="4"/>
      <c r="CX190" s="4"/>
      <c r="CY190" s="4"/>
      <c r="CZ190" s="4"/>
      <c r="DA190" s="4"/>
      <c r="DB190" s="4"/>
      <c r="DC190" s="4"/>
      <c r="DD190" s="4"/>
      <c r="DE190" s="4"/>
      <c r="DF190" s="4"/>
      <c r="DG190" s="4"/>
      <c r="DH190" s="4"/>
      <c r="DI190" s="4"/>
      <c r="DJ190" s="4"/>
      <c r="DK190" s="4"/>
      <c r="DL190" s="4"/>
      <c r="DM190" s="4"/>
      <c r="DN190" s="4"/>
      <c r="DO190" s="4"/>
      <c r="DP190" s="4"/>
      <c r="DQ190" s="4"/>
      <c r="DR190" s="4"/>
      <c r="DS190" s="4"/>
      <c r="DT190" s="4"/>
    </row>
    <row r="191" spans="1:124" s="21" customFormat="1" hidden="1">
      <c r="A191" s="58"/>
      <c r="B191" s="31"/>
      <c r="J191" s="8"/>
      <c r="L191" s="141"/>
      <c r="M191" s="9"/>
      <c r="N191" s="10"/>
      <c r="O191" s="9"/>
      <c r="P191" s="10"/>
      <c r="Q191" s="9"/>
      <c r="R191" s="10"/>
      <c r="S191" s="9"/>
      <c r="T191" s="10"/>
      <c r="U191" s="9"/>
      <c r="V191" s="10"/>
      <c r="W191" s="9"/>
      <c r="X191" s="10"/>
      <c r="Y191" s="9"/>
      <c r="Z191" s="10"/>
      <c r="AA191" s="9"/>
      <c r="AB191" s="10"/>
      <c r="AC191" s="9"/>
      <c r="AD191" s="10"/>
      <c r="AE191" s="9"/>
      <c r="AF191" s="10"/>
      <c r="AG191" s="9"/>
      <c r="AH191" s="10"/>
      <c r="AI191" s="4"/>
      <c r="AJ191" s="10"/>
      <c r="AK191" s="4"/>
      <c r="AL191" s="10"/>
      <c r="AM191" s="4"/>
      <c r="AN191" s="10"/>
      <c r="AO191" s="9"/>
      <c r="AP191" s="10"/>
      <c r="AQ191" s="9"/>
      <c r="AR191" s="10"/>
      <c r="AS191" s="9"/>
      <c r="AT191" s="10"/>
      <c r="AU191" s="10"/>
      <c r="AV191" s="10"/>
      <c r="AW191" s="10"/>
      <c r="AX191" s="10"/>
      <c r="AY191" s="10"/>
      <c r="AZ191" s="10"/>
      <c r="BA191" s="10"/>
      <c r="BB191" s="10"/>
      <c r="BC191" s="10"/>
      <c r="BD191" s="10"/>
      <c r="BE191" s="4"/>
      <c r="BF191" s="10"/>
      <c r="BG191" s="4"/>
      <c r="BH191" s="10"/>
      <c r="BI191" s="4"/>
      <c r="BJ191" s="10"/>
      <c r="BK191" s="4"/>
      <c r="BL191" s="10"/>
      <c r="BM191" s="4"/>
      <c r="BN191" s="10">
        <f>BN188-BN190</f>
        <v>-20139.281307965517</v>
      </c>
      <c r="BO191" s="4"/>
      <c r="BP191" s="10"/>
      <c r="BQ191" s="4"/>
      <c r="BR191" s="10"/>
      <c r="BS191" s="9"/>
      <c r="BT191" s="10"/>
      <c r="BU191" s="9"/>
      <c r="BV191" s="10"/>
      <c r="BW191" s="9"/>
      <c r="BX191" s="4"/>
      <c r="BY191" s="4"/>
      <c r="BZ191" s="4"/>
      <c r="CA191" s="4"/>
      <c r="CB191" s="4"/>
      <c r="CC191" s="4"/>
      <c r="CD191" s="4"/>
      <c r="CE191" s="4"/>
      <c r="CF191" s="4"/>
      <c r="CG191" s="4"/>
      <c r="CH191" s="4"/>
      <c r="CI191" s="4"/>
      <c r="CJ191" s="4"/>
      <c r="CK191" s="4"/>
      <c r="CL191" s="4"/>
      <c r="CM191" s="4"/>
      <c r="CN191" s="4"/>
      <c r="CO191" s="4"/>
      <c r="CP191" s="4"/>
      <c r="CQ191" s="4"/>
      <c r="CR191" s="4"/>
      <c r="CS191" s="4"/>
      <c r="CT191" s="4"/>
      <c r="CU191" s="4"/>
      <c r="CV191" s="4"/>
      <c r="CW191" s="4"/>
      <c r="CX191" s="4"/>
      <c r="CY191" s="4"/>
      <c r="CZ191" s="4"/>
      <c r="DA191" s="4"/>
      <c r="DB191" s="4"/>
      <c r="DC191" s="4"/>
      <c r="DD191" s="4"/>
      <c r="DE191" s="4"/>
      <c r="DF191" s="4"/>
      <c r="DG191" s="4"/>
      <c r="DH191" s="4"/>
      <c r="DI191" s="4"/>
      <c r="DJ191" s="4"/>
      <c r="DK191" s="4"/>
      <c r="DL191" s="4"/>
      <c r="DM191" s="4"/>
      <c r="DN191" s="4"/>
      <c r="DO191" s="4"/>
      <c r="DP191" s="4"/>
      <c r="DQ191" s="4"/>
      <c r="DR191" s="4"/>
      <c r="DS191" s="4"/>
      <c r="DT191" s="4"/>
    </row>
    <row r="192" spans="1:124" s="21" customFormat="1" hidden="1">
      <c r="A192" s="58"/>
      <c r="B192" s="31"/>
      <c r="J192" s="8"/>
      <c r="L192" s="141"/>
      <c r="M192" s="9"/>
      <c r="N192" s="10"/>
      <c r="O192" s="9"/>
      <c r="P192" s="10"/>
      <c r="Q192" s="9"/>
      <c r="R192" s="10"/>
      <c r="S192" s="9"/>
      <c r="T192" s="10"/>
      <c r="U192" s="9"/>
      <c r="V192" s="10"/>
      <c r="W192" s="9"/>
      <c r="X192" s="10"/>
      <c r="Y192" s="9"/>
      <c r="Z192" s="10"/>
      <c r="AA192" s="9"/>
      <c r="AB192" s="10"/>
      <c r="AC192" s="9"/>
      <c r="AD192" s="10"/>
      <c r="AE192" s="9"/>
      <c r="AF192" s="10"/>
      <c r="AG192" s="9"/>
      <c r="AH192" s="10"/>
      <c r="AI192" s="4"/>
      <c r="AJ192" s="10"/>
      <c r="AK192" s="4"/>
      <c r="AL192" s="10"/>
      <c r="AM192" s="4"/>
      <c r="AN192" s="10"/>
      <c r="AO192" s="9"/>
      <c r="AP192" s="10"/>
      <c r="AQ192" s="9"/>
      <c r="AR192" s="10"/>
      <c r="AS192" s="9"/>
      <c r="AT192" s="10"/>
      <c r="AU192" s="10"/>
      <c r="AV192" s="10"/>
      <c r="AW192" s="10"/>
      <c r="AX192" s="10"/>
      <c r="AY192" s="10"/>
      <c r="AZ192" s="10"/>
      <c r="BA192" s="10"/>
      <c r="BB192" s="10"/>
      <c r="BC192" s="10"/>
      <c r="BD192" s="10"/>
      <c r="BE192" s="4"/>
      <c r="BF192" s="10"/>
      <c r="BG192" s="4"/>
      <c r="BH192" s="10"/>
      <c r="BI192" s="4"/>
      <c r="BJ192" s="10"/>
      <c r="BK192" s="4"/>
      <c r="BL192" s="10"/>
      <c r="BM192" s="4"/>
      <c r="BN192" s="10"/>
      <c r="BO192" s="4"/>
      <c r="BP192" s="10"/>
      <c r="BQ192" s="4"/>
      <c r="BR192" s="10"/>
      <c r="BS192" s="9"/>
      <c r="BT192" s="10"/>
      <c r="BU192" s="9"/>
      <c r="BV192" s="10"/>
      <c r="BW192" s="9"/>
      <c r="BX192" s="4"/>
      <c r="BY192" s="4"/>
      <c r="BZ192" s="4"/>
      <c r="CA192" s="4"/>
      <c r="CB192" s="4"/>
      <c r="CC192" s="4"/>
      <c r="CD192" s="4"/>
      <c r="CE192" s="4"/>
      <c r="CF192" s="4"/>
      <c r="CG192" s="4"/>
      <c r="CH192" s="4"/>
      <c r="CI192" s="4"/>
      <c r="CJ192" s="4"/>
      <c r="CK192" s="4"/>
      <c r="CL192" s="4"/>
      <c r="CM192" s="4"/>
      <c r="CN192" s="4"/>
      <c r="CO192" s="4"/>
      <c r="CP192" s="4"/>
      <c r="CQ192" s="4"/>
      <c r="CR192" s="4"/>
      <c r="CS192" s="4"/>
      <c r="CT192" s="4"/>
      <c r="CU192" s="4"/>
      <c r="CV192" s="4"/>
      <c r="CW192" s="4"/>
      <c r="CX192" s="4"/>
      <c r="CY192" s="4"/>
      <c r="CZ192" s="4"/>
      <c r="DA192" s="4"/>
      <c r="DB192" s="4"/>
      <c r="DC192" s="4"/>
      <c r="DD192" s="4"/>
      <c r="DE192" s="4"/>
      <c r="DF192" s="4"/>
      <c r="DG192" s="4"/>
      <c r="DH192" s="4"/>
      <c r="DI192" s="4"/>
      <c r="DJ192" s="4"/>
      <c r="DK192" s="4"/>
      <c r="DL192" s="4"/>
      <c r="DM192" s="4"/>
      <c r="DN192" s="4"/>
      <c r="DO192" s="4"/>
      <c r="DP192" s="4"/>
      <c r="DQ192" s="4"/>
      <c r="DR192" s="4"/>
      <c r="DS192" s="4"/>
      <c r="DT192" s="4"/>
    </row>
    <row r="193" spans="1:124" s="21" customFormat="1" hidden="1">
      <c r="A193" s="58"/>
      <c r="B193" s="31"/>
      <c r="J193" s="8"/>
      <c r="L193" s="141"/>
      <c r="M193" s="9"/>
      <c r="N193" s="10"/>
      <c r="O193" s="9"/>
      <c r="P193" s="10"/>
      <c r="Q193" s="9"/>
      <c r="R193" s="10"/>
      <c r="S193" s="9"/>
      <c r="T193" s="10"/>
      <c r="U193" s="9"/>
      <c r="V193" s="10"/>
      <c r="W193" s="9"/>
      <c r="X193" s="10"/>
      <c r="Y193" s="9"/>
      <c r="Z193" s="10"/>
      <c r="AA193" s="9"/>
      <c r="AB193" s="10"/>
      <c r="AC193" s="9"/>
      <c r="AD193" s="10"/>
      <c r="AE193" s="9"/>
      <c r="AF193" s="10"/>
      <c r="AG193" s="9"/>
      <c r="AH193" s="10"/>
      <c r="AI193" s="4"/>
      <c r="AJ193" s="10"/>
      <c r="AK193" s="4"/>
      <c r="AL193" s="10"/>
      <c r="AM193" s="4"/>
      <c r="AN193" s="10"/>
      <c r="AO193" s="9"/>
      <c r="AP193" s="10"/>
      <c r="AQ193" s="9"/>
      <c r="AR193" s="10"/>
      <c r="AS193" s="9"/>
      <c r="AT193" s="10"/>
      <c r="AU193" s="10"/>
      <c r="AV193" s="10"/>
      <c r="AW193" s="10"/>
      <c r="AX193" s="10"/>
      <c r="AY193" s="10"/>
      <c r="AZ193" s="10"/>
      <c r="BA193" s="10"/>
      <c r="BB193" s="10"/>
      <c r="BC193" s="10"/>
      <c r="BD193" s="10"/>
      <c r="BE193" s="4"/>
      <c r="BF193" s="10"/>
      <c r="BG193" s="4"/>
      <c r="BH193" s="10"/>
      <c r="BI193" s="4"/>
      <c r="BJ193" s="10"/>
      <c r="BK193" s="4"/>
      <c r="BL193" s="10"/>
      <c r="BM193" s="4"/>
      <c r="BN193" s="10"/>
      <c r="BO193" s="4"/>
      <c r="BP193" s="10"/>
      <c r="BQ193" s="4"/>
      <c r="BR193" s="10"/>
      <c r="BS193" s="9"/>
      <c r="BT193" s="10"/>
      <c r="BU193" s="9"/>
      <c r="BV193" s="10"/>
      <c r="BW193" s="9"/>
      <c r="BX193" s="4"/>
      <c r="BY193" s="4"/>
      <c r="BZ193" s="4"/>
      <c r="CA193" s="4"/>
      <c r="CB193" s="4"/>
      <c r="CC193" s="4"/>
      <c r="CD193" s="4"/>
      <c r="CE193" s="4"/>
      <c r="CF193" s="4"/>
      <c r="CG193" s="4"/>
      <c r="CH193" s="4"/>
      <c r="CI193" s="4"/>
      <c r="CJ193" s="4"/>
      <c r="CK193" s="4"/>
      <c r="CL193" s="4"/>
      <c r="CM193" s="4"/>
      <c r="CN193" s="4"/>
      <c r="CO193" s="4"/>
      <c r="CP193" s="4"/>
      <c r="CQ193" s="4"/>
      <c r="CR193" s="4"/>
      <c r="CS193" s="4"/>
      <c r="CT193" s="4"/>
      <c r="CU193" s="4"/>
      <c r="CV193" s="4"/>
      <c r="CW193" s="4"/>
      <c r="CX193" s="4"/>
      <c r="CY193" s="4"/>
      <c r="CZ193" s="4"/>
      <c r="DA193" s="4"/>
      <c r="DB193" s="4"/>
      <c r="DC193" s="4"/>
      <c r="DD193" s="4"/>
      <c r="DE193" s="4"/>
      <c r="DF193" s="4"/>
      <c r="DG193" s="4"/>
      <c r="DH193" s="4"/>
      <c r="DI193" s="4"/>
      <c r="DJ193" s="4"/>
      <c r="DK193" s="4"/>
      <c r="DL193" s="4"/>
      <c r="DM193" s="4"/>
      <c r="DN193" s="4"/>
      <c r="DO193" s="4"/>
      <c r="DP193" s="4"/>
      <c r="DQ193" s="4"/>
      <c r="DR193" s="4"/>
      <c r="DS193" s="4"/>
      <c r="DT193" s="4"/>
    </row>
    <row r="194" spans="1:124" s="21" customFormat="1" hidden="1">
      <c r="A194" s="58"/>
      <c r="B194" s="31"/>
      <c r="J194" s="8"/>
      <c r="L194" s="141"/>
      <c r="M194" s="9"/>
      <c r="N194" s="10"/>
      <c r="O194" s="9"/>
      <c r="P194" s="10"/>
      <c r="Q194" s="9"/>
      <c r="R194" s="10"/>
      <c r="S194" s="9"/>
      <c r="T194" s="10"/>
      <c r="U194" s="9"/>
      <c r="V194" s="10"/>
      <c r="W194" s="9"/>
      <c r="X194" s="10"/>
      <c r="Y194" s="9"/>
      <c r="Z194" s="10"/>
      <c r="AA194" s="9"/>
      <c r="AB194" s="10"/>
      <c r="AC194" s="9"/>
      <c r="AD194" s="10"/>
      <c r="AE194" s="9"/>
      <c r="AF194" s="10"/>
      <c r="AG194" s="9"/>
      <c r="AH194" s="10"/>
      <c r="AI194" s="4"/>
      <c r="AJ194" s="10"/>
      <c r="AK194" s="4"/>
      <c r="AL194" s="10"/>
      <c r="AM194" s="4"/>
      <c r="AN194" s="10"/>
      <c r="AO194" s="9"/>
      <c r="AP194" s="10"/>
      <c r="AQ194" s="9"/>
      <c r="AR194" s="10"/>
      <c r="AS194" s="9"/>
      <c r="AT194" s="10"/>
      <c r="AU194" s="10"/>
      <c r="AV194" s="10"/>
      <c r="AW194" s="10"/>
      <c r="AX194" s="10"/>
      <c r="AY194" s="10"/>
      <c r="AZ194" s="10"/>
      <c r="BA194" s="10"/>
      <c r="BB194" s="10"/>
      <c r="BC194" s="10"/>
      <c r="BD194" s="10"/>
      <c r="BE194" s="4"/>
      <c r="BF194" s="10"/>
      <c r="BG194" s="4"/>
      <c r="BH194" s="10"/>
      <c r="BI194" s="4"/>
      <c r="BJ194" s="10"/>
      <c r="BK194" s="4"/>
      <c r="BL194" s="10"/>
      <c r="BM194" s="4"/>
      <c r="BN194" s="10"/>
      <c r="BO194" s="4"/>
      <c r="BP194" s="10"/>
      <c r="BQ194" s="4"/>
      <c r="BR194" s="10"/>
      <c r="BS194" s="9"/>
      <c r="BT194" s="10"/>
      <c r="BU194" s="9"/>
      <c r="BV194" s="10"/>
      <c r="BW194" s="9"/>
      <c r="BX194" s="4"/>
      <c r="BY194" s="4"/>
      <c r="BZ194" s="4"/>
      <c r="CA194" s="4"/>
      <c r="CB194" s="4"/>
      <c r="CC194" s="4"/>
      <c r="CD194" s="4"/>
      <c r="CE194" s="4"/>
      <c r="CF194" s="4"/>
      <c r="CG194" s="4"/>
      <c r="CH194" s="4"/>
      <c r="CI194" s="4"/>
      <c r="CJ194" s="4"/>
      <c r="CK194" s="4"/>
      <c r="CL194" s="4"/>
      <c r="CM194" s="4"/>
      <c r="CN194" s="4"/>
      <c r="CO194" s="4"/>
      <c r="CP194" s="4"/>
      <c r="CQ194" s="4"/>
      <c r="CR194" s="4"/>
      <c r="CS194" s="4"/>
      <c r="CT194" s="4"/>
      <c r="CU194" s="4"/>
      <c r="CV194" s="4"/>
      <c r="CW194" s="4"/>
      <c r="CX194" s="4"/>
      <c r="CY194" s="4"/>
      <c r="CZ194" s="4"/>
      <c r="DA194" s="4"/>
      <c r="DB194" s="4"/>
      <c r="DC194" s="4"/>
      <c r="DD194" s="4"/>
      <c r="DE194" s="4"/>
      <c r="DF194" s="4"/>
      <c r="DG194" s="4"/>
      <c r="DH194" s="4"/>
      <c r="DI194" s="4"/>
      <c r="DJ194" s="4"/>
      <c r="DK194" s="4"/>
      <c r="DL194" s="4"/>
      <c r="DM194" s="4"/>
      <c r="DN194" s="4"/>
      <c r="DO194" s="4"/>
      <c r="DP194" s="4"/>
      <c r="DQ194" s="4"/>
      <c r="DR194" s="4"/>
      <c r="DS194" s="4"/>
      <c r="DT194" s="4"/>
    </row>
    <row r="195" spans="1:124" s="21" customFormat="1" hidden="1">
      <c r="A195" s="58"/>
      <c r="B195" s="31"/>
      <c r="J195" s="8"/>
      <c r="L195" s="141"/>
      <c r="M195" s="9"/>
      <c r="N195" s="10"/>
      <c r="O195" s="9"/>
      <c r="P195" s="10"/>
      <c r="Q195" s="9"/>
      <c r="R195" s="10"/>
      <c r="S195" s="9"/>
      <c r="T195" s="10"/>
      <c r="U195" s="9"/>
      <c r="V195" s="10"/>
      <c r="W195" s="9"/>
      <c r="X195" s="10"/>
      <c r="Y195" s="9"/>
      <c r="Z195" s="10"/>
      <c r="AA195" s="9"/>
      <c r="AB195" s="10"/>
      <c r="AC195" s="9"/>
      <c r="AD195" s="10"/>
      <c r="AE195" s="9"/>
      <c r="AF195" s="10"/>
      <c r="AG195" s="9"/>
      <c r="AH195" s="10"/>
      <c r="AI195" s="4"/>
      <c r="AJ195" s="10"/>
      <c r="AK195" s="4"/>
      <c r="AL195" s="10"/>
      <c r="AM195" s="4"/>
      <c r="AN195" s="10"/>
      <c r="AO195" s="9"/>
      <c r="AP195" s="10"/>
      <c r="AQ195" s="9"/>
      <c r="AR195" s="10"/>
      <c r="AS195" s="9"/>
      <c r="AT195" s="10"/>
      <c r="AU195" s="10"/>
      <c r="AV195" s="10"/>
      <c r="AW195" s="10"/>
      <c r="AX195" s="10"/>
      <c r="AY195" s="10"/>
      <c r="AZ195" s="10"/>
      <c r="BA195" s="10"/>
      <c r="BB195" s="10"/>
      <c r="BC195" s="10"/>
      <c r="BD195" s="10"/>
      <c r="BE195" s="4"/>
      <c r="BF195" s="10"/>
      <c r="BG195" s="4"/>
      <c r="BH195" s="10"/>
      <c r="BI195" s="4"/>
      <c r="BJ195" s="10"/>
      <c r="BK195" s="4"/>
      <c r="BL195" s="10"/>
      <c r="BM195" s="4"/>
      <c r="BN195" s="10"/>
      <c r="BO195" s="4"/>
      <c r="BP195" s="10"/>
      <c r="BQ195" s="4"/>
      <c r="BR195" s="10"/>
      <c r="BS195" s="9"/>
      <c r="BT195" s="10"/>
      <c r="BU195" s="9"/>
      <c r="BV195" s="10"/>
      <c r="BW195" s="9"/>
      <c r="BX195" s="4"/>
      <c r="BY195" s="4"/>
      <c r="BZ195" s="4"/>
      <c r="CA195" s="4"/>
      <c r="CB195" s="4"/>
      <c r="CC195" s="4"/>
      <c r="CD195" s="4"/>
      <c r="CE195" s="4"/>
      <c r="CF195" s="4"/>
      <c r="CG195" s="4"/>
      <c r="CH195" s="4"/>
      <c r="CI195" s="4"/>
      <c r="CJ195" s="4"/>
      <c r="CK195" s="4"/>
      <c r="CL195" s="4"/>
      <c r="CM195" s="4"/>
      <c r="CN195" s="4"/>
      <c r="CO195" s="4"/>
      <c r="CP195" s="4"/>
      <c r="CQ195" s="4"/>
      <c r="CR195" s="4"/>
      <c r="CS195" s="4"/>
      <c r="CT195" s="4"/>
      <c r="CU195" s="4"/>
      <c r="CV195" s="4"/>
      <c r="CW195" s="4"/>
      <c r="CX195" s="4"/>
      <c r="CY195" s="4"/>
      <c r="CZ195" s="4"/>
      <c r="DA195" s="4"/>
      <c r="DB195" s="4"/>
      <c r="DC195" s="4"/>
      <c r="DD195" s="4"/>
      <c r="DE195" s="4"/>
      <c r="DF195" s="4"/>
      <c r="DG195" s="4"/>
      <c r="DH195" s="4"/>
      <c r="DI195" s="4"/>
      <c r="DJ195" s="4"/>
      <c r="DK195" s="4"/>
      <c r="DL195" s="4"/>
      <c r="DM195" s="4"/>
      <c r="DN195" s="4"/>
      <c r="DO195" s="4"/>
      <c r="DP195" s="4"/>
      <c r="DQ195" s="4"/>
      <c r="DR195" s="4"/>
      <c r="DS195" s="4"/>
      <c r="DT195" s="4"/>
    </row>
    <row r="196" spans="1:124" s="21" customFormat="1" hidden="1">
      <c r="A196" s="58"/>
      <c r="B196" s="31"/>
      <c r="J196" s="8"/>
      <c r="L196" s="141"/>
      <c r="M196" s="9"/>
      <c r="N196" s="10"/>
      <c r="O196" s="9"/>
      <c r="P196" s="10"/>
      <c r="Q196" s="9"/>
      <c r="R196" s="10"/>
      <c r="S196" s="9"/>
      <c r="T196" s="10"/>
      <c r="U196" s="9"/>
      <c r="V196" s="10"/>
      <c r="W196" s="9"/>
      <c r="X196" s="10"/>
      <c r="Y196" s="9"/>
      <c r="Z196" s="10"/>
      <c r="AA196" s="9"/>
      <c r="AB196" s="10"/>
      <c r="AC196" s="9"/>
      <c r="AD196" s="10"/>
      <c r="AE196" s="9"/>
      <c r="AF196" s="10"/>
      <c r="AG196" s="9"/>
      <c r="AH196" s="10"/>
      <c r="AI196" s="4"/>
      <c r="AJ196" s="10"/>
      <c r="AK196" s="4"/>
      <c r="AL196" s="10"/>
      <c r="AM196" s="4"/>
      <c r="AN196" s="10"/>
      <c r="AO196" s="9"/>
      <c r="AP196" s="10"/>
      <c r="AQ196" s="9"/>
      <c r="AR196" s="10"/>
      <c r="AS196" s="9"/>
      <c r="AT196" s="10"/>
      <c r="AU196" s="10"/>
      <c r="AV196" s="10"/>
      <c r="AW196" s="10"/>
      <c r="AX196" s="10"/>
      <c r="AY196" s="10"/>
      <c r="AZ196" s="10"/>
      <c r="BA196" s="10"/>
      <c r="BB196" s="10"/>
      <c r="BC196" s="10"/>
      <c r="BD196" s="10"/>
      <c r="BE196" s="4"/>
      <c r="BF196" s="10"/>
      <c r="BG196" s="4"/>
      <c r="BH196" s="10"/>
      <c r="BI196" s="4"/>
      <c r="BJ196" s="10"/>
      <c r="BK196" s="4"/>
      <c r="BL196" s="10"/>
      <c r="BM196" s="4"/>
      <c r="BN196" s="10"/>
      <c r="BO196" s="4"/>
      <c r="BP196" s="10"/>
      <c r="BQ196" s="4"/>
      <c r="BR196" s="10"/>
      <c r="BS196" s="9"/>
      <c r="BT196" s="10"/>
      <c r="BU196" s="9"/>
      <c r="BV196" s="10"/>
      <c r="BW196" s="9"/>
      <c r="BX196" s="4"/>
      <c r="BY196" s="4"/>
      <c r="BZ196" s="4"/>
      <c r="CA196" s="4"/>
      <c r="CB196" s="4"/>
      <c r="CC196" s="4"/>
      <c r="CD196" s="4"/>
      <c r="CE196" s="4"/>
      <c r="CF196" s="4"/>
      <c r="CG196" s="4"/>
      <c r="CH196" s="4"/>
      <c r="CI196" s="4"/>
      <c r="CJ196" s="4"/>
      <c r="CK196" s="4"/>
      <c r="CL196" s="4"/>
      <c r="CM196" s="4"/>
      <c r="CN196" s="4"/>
      <c r="CO196" s="4"/>
      <c r="CP196" s="4"/>
      <c r="CQ196" s="4"/>
      <c r="CR196" s="4"/>
      <c r="CS196" s="4"/>
      <c r="CT196" s="4"/>
      <c r="CU196" s="4"/>
      <c r="CV196" s="4"/>
      <c r="CW196" s="4"/>
      <c r="CX196" s="4"/>
      <c r="CY196" s="4"/>
      <c r="CZ196" s="4"/>
      <c r="DA196" s="4"/>
      <c r="DB196" s="4"/>
      <c r="DC196" s="4"/>
      <c r="DD196" s="4"/>
      <c r="DE196" s="4"/>
      <c r="DF196" s="4"/>
      <c r="DG196" s="4"/>
      <c r="DH196" s="4"/>
      <c r="DI196" s="4"/>
      <c r="DJ196" s="4"/>
      <c r="DK196" s="4"/>
      <c r="DL196" s="4"/>
      <c r="DM196" s="4"/>
      <c r="DN196" s="4"/>
      <c r="DO196" s="4"/>
      <c r="DP196" s="4"/>
      <c r="DQ196" s="4"/>
      <c r="DR196" s="4"/>
      <c r="DS196" s="4"/>
      <c r="DT196" s="4"/>
    </row>
    <row r="197" spans="1:124" s="21" customFormat="1" hidden="1">
      <c r="A197" s="58"/>
      <c r="B197" s="31"/>
      <c r="J197" s="8"/>
      <c r="L197" s="141"/>
      <c r="M197" s="9"/>
      <c r="N197" s="10"/>
      <c r="O197" s="9"/>
      <c r="P197" s="10"/>
      <c r="Q197" s="9"/>
      <c r="R197" s="10"/>
      <c r="S197" s="9"/>
      <c r="T197" s="10"/>
      <c r="U197" s="9"/>
      <c r="V197" s="10"/>
      <c r="W197" s="9"/>
      <c r="X197" s="10"/>
      <c r="Y197" s="9"/>
      <c r="Z197" s="10"/>
      <c r="AA197" s="9"/>
      <c r="AB197" s="10"/>
      <c r="AC197" s="9"/>
      <c r="AD197" s="10"/>
      <c r="AE197" s="9"/>
      <c r="AF197" s="10"/>
      <c r="AG197" s="9"/>
      <c r="AH197" s="10"/>
      <c r="AI197" s="4"/>
      <c r="AJ197" s="10"/>
      <c r="AK197" s="4"/>
      <c r="AL197" s="10"/>
      <c r="AM197" s="4"/>
      <c r="AN197" s="10"/>
      <c r="AO197" s="9"/>
      <c r="AP197" s="10"/>
      <c r="AQ197" s="9"/>
      <c r="AR197" s="10"/>
      <c r="AS197" s="9"/>
      <c r="AT197" s="10"/>
      <c r="AU197" s="10"/>
      <c r="AV197" s="10"/>
      <c r="AW197" s="10"/>
      <c r="AX197" s="10"/>
      <c r="AY197" s="10"/>
      <c r="AZ197" s="10"/>
      <c r="BA197" s="10"/>
      <c r="BB197" s="10"/>
      <c r="BC197" s="10"/>
      <c r="BD197" s="10"/>
      <c r="BE197" s="4"/>
      <c r="BF197" s="10"/>
      <c r="BG197" s="4"/>
      <c r="BH197" s="10"/>
      <c r="BI197" s="4"/>
      <c r="BJ197" s="10"/>
      <c r="BK197" s="4"/>
      <c r="BL197" s="10"/>
      <c r="BM197" s="4"/>
      <c r="BN197" s="10"/>
      <c r="BO197" s="4"/>
      <c r="BP197" s="10"/>
      <c r="BQ197" s="4"/>
      <c r="BR197" s="10"/>
      <c r="BS197" s="9"/>
      <c r="BT197" s="10"/>
      <c r="BU197" s="9"/>
      <c r="BV197" s="10"/>
      <c r="BW197" s="9"/>
      <c r="BX197" s="4"/>
      <c r="BY197" s="4"/>
      <c r="BZ197" s="4"/>
      <c r="CA197" s="4"/>
      <c r="CB197" s="4"/>
      <c r="CC197" s="4"/>
      <c r="CD197" s="4"/>
      <c r="CE197" s="4"/>
      <c r="CF197" s="4"/>
      <c r="CG197" s="4"/>
      <c r="CH197" s="4"/>
      <c r="CI197" s="4"/>
      <c r="CJ197" s="4"/>
      <c r="CK197" s="4"/>
      <c r="CL197" s="4"/>
      <c r="CM197" s="4"/>
      <c r="CN197" s="4"/>
      <c r="CO197" s="4"/>
      <c r="CP197" s="4"/>
      <c r="CQ197" s="4"/>
      <c r="CR197" s="4"/>
      <c r="CS197" s="4"/>
      <c r="CT197" s="4"/>
      <c r="CU197" s="4"/>
      <c r="CV197" s="4"/>
      <c r="CW197" s="4"/>
      <c r="CX197" s="4"/>
      <c r="CY197" s="4"/>
      <c r="CZ197" s="4"/>
      <c r="DA197" s="4"/>
      <c r="DB197" s="4"/>
      <c r="DC197" s="4"/>
      <c r="DD197" s="4"/>
      <c r="DE197" s="4"/>
      <c r="DF197" s="4"/>
      <c r="DG197" s="4"/>
      <c r="DH197" s="4"/>
      <c r="DI197" s="4"/>
      <c r="DJ197" s="4"/>
      <c r="DK197" s="4"/>
      <c r="DL197" s="4"/>
      <c r="DM197" s="4"/>
      <c r="DN197" s="4"/>
      <c r="DO197" s="4"/>
      <c r="DP197" s="4"/>
      <c r="DQ197" s="4"/>
      <c r="DR197" s="4"/>
      <c r="DS197" s="4"/>
      <c r="DT197" s="4"/>
    </row>
    <row r="198" spans="1:124" s="21" customFormat="1" hidden="1">
      <c r="A198" s="58"/>
      <c r="B198" s="31"/>
      <c r="J198" s="8"/>
      <c r="L198" s="141"/>
      <c r="M198" s="9"/>
      <c r="N198" s="10"/>
      <c r="O198" s="9"/>
      <c r="P198" s="10"/>
      <c r="Q198" s="9"/>
      <c r="R198" s="10"/>
      <c r="S198" s="9"/>
      <c r="T198" s="10"/>
      <c r="U198" s="9"/>
      <c r="V198" s="10"/>
      <c r="W198" s="9"/>
      <c r="X198" s="10"/>
      <c r="Y198" s="9"/>
      <c r="Z198" s="10"/>
      <c r="AA198" s="9"/>
      <c r="AB198" s="10"/>
      <c r="AC198" s="9"/>
      <c r="AD198" s="10"/>
      <c r="AE198" s="9"/>
      <c r="AF198" s="10"/>
      <c r="AG198" s="9"/>
      <c r="AH198" s="10"/>
      <c r="AI198" s="4"/>
      <c r="AJ198" s="10"/>
      <c r="AK198" s="4"/>
      <c r="AL198" s="10"/>
      <c r="AM198" s="4"/>
      <c r="AN198" s="10"/>
      <c r="AO198" s="9"/>
      <c r="AP198" s="10"/>
      <c r="AQ198" s="9"/>
      <c r="AR198" s="10"/>
      <c r="AS198" s="9"/>
      <c r="AT198" s="10"/>
      <c r="AU198" s="10"/>
      <c r="AV198" s="10"/>
      <c r="AW198" s="10"/>
      <c r="AX198" s="10"/>
      <c r="AY198" s="10"/>
      <c r="AZ198" s="10"/>
      <c r="BA198" s="10"/>
      <c r="BB198" s="10"/>
      <c r="BC198" s="10"/>
      <c r="BD198" s="10"/>
      <c r="BE198" s="4"/>
      <c r="BF198" s="10"/>
      <c r="BG198" s="4"/>
      <c r="BH198" s="10"/>
      <c r="BI198" s="4"/>
      <c r="BJ198" s="10"/>
      <c r="BK198" s="4"/>
      <c r="BL198" s="10"/>
      <c r="BM198" s="4"/>
      <c r="BN198" s="10"/>
      <c r="BO198" s="4"/>
      <c r="BP198" s="10"/>
      <c r="BQ198" s="4"/>
      <c r="BR198" s="10"/>
      <c r="BS198" s="9"/>
      <c r="BT198" s="10"/>
      <c r="BU198" s="9"/>
      <c r="BV198" s="10"/>
      <c r="BW198" s="9"/>
      <c r="BX198" s="4"/>
      <c r="BY198" s="4"/>
      <c r="BZ198" s="4"/>
      <c r="CA198" s="4"/>
      <c r="CB198" s="4"/>
      <c r="CC198" s="4"/>
      <c r="CD198" s="4"/>
      <c r="CE198" s="4"/>
      <c r="CF198" s="4"/>
      <c r="CG198" s="4"/>
      <c r="CH198" s="4"/>
      <c r="CI198" s="4"/>
      <c r="CJ198" s="4"/>
      <c r="CK198" s="4"/>
      <c r="CL198" s="4"/>
      <c r="CM198" s="4"/>
      <c r="CN198" s="4"/>
      <c r="CO198" s="4"/>
      <c r="CP198" s="4"/>
      <c r="CQ198" s="4"/>
      <c r="CR198" s="4"/>
      <c r="CS198" s="4"/>
      <c r="CT198" s="4"/>
      <c r="CU198" s="4"/>
      <c r="CV198" s="4"/>
      <c r="CW198" s="4"/>
      <c r="CX198" s="4"/>
      <c r="CY198" s="4"/>
      <c r="CZ198" s="4"/>
      <c r="DA198" s="4"/>
      <c r="DB198" s="4"/>
      <c r="DC198" s="4"/>
      <c r="DD198" s="4"/>
      <c r="DE198" s="4"/>
      <c r="DF198" s="4"/>
      <c r="DG198" s="4"/>
      <c r="DH198" s="4"/>
      <c r="DI198" s="4"/>
      <c r="DJ198" s="4"/>
      <c r="DK198" s="4"/>
      <c r="DL198" s="4"/>
      <c r="DM198" s="4"/>
      <c r="DN198" s="4"/>
      <c r="DO198" s="4"/>
      <c r="DP198" s="4"/>
      <c r="DQ198" s="4"/>
      <c r="DR198" s="4"/>
      <c r="DS198" s="4"/>
      <c r="DT198" s="4"/>
    </row>
    <row r="199" spans="1:124" s="21" customFormat="1" hidden="1">
      <c r="A199" s="58"/>
      <c r="B199" s="31"/>
      <c r="J199" s="8"/>
      <c r="L199" s="141"/>
      <c r="M199" s="9"/>
      <c r="N199" s="10"/>
      <c r="O199" s="9"/>
      <c r="P199" s="10"/>
      <c r="Q199" s="9"/>
      <c r="R199" s="10"/>
      <c r="S199" s="9"/>
      <c r="T199" s="10"/>
      <c r="U199" s="9"/>
      <c r="V199" s="10"/>
      <c r="W199" s="9"/>
      <c r="X199" s="10"/>
      <c r="Y199" s="9"/>
      <c r="Z199" s="10"/>
      <c r="AA199" s="9"/>
      <c r="AB199" s="10"/>
      <c r="AC199" s="9"/>
      <c r="AD199" s="10"/>
      <c r="AE199" s="9"/>
      <c r="AF199" s="10"/>
      <c r="AG199" s="9"/>
      <c r="AH199" s="10"/>
      <c r="AI199" s="4"/>
      <c r="AJ199" s="10"/>
      <c r="AK199" s="4"/>
      <c r="AL199" s="10"/>
      <c r="AM199" s="4"/>
      <c r="AN199" s="10"/>
      <c r="AO199" s="9"/>
      <c r="AP199" s="10"/>
      <c r="AQ199" s="9"/>
      <c r="AR199" s="10"/>
      <c r="AS199" s="9"/>
      <c r="AT199" s="10"/>
      <c r="AU199" s="10"/>
      <c r="AV199" s="10"/>
      <c r="AW199" s="10"/>
      <c r="AX199" s="10"/>
      <c r="AY199" s="10"/>
      <c r="AZ199" s="10"/>
      <c r="BA199" s="10"/>
      <c r="BB199" s="10"/>
      <c r="BC199" s="10"/>
      <c r="BD199" s="10"/>
      <c r="BE199" s="4"/>
      <c r="BF199" s="10"/>
      <c r="BG199" s="4"/>
      <c r="BH199" s="10"/>
      <c r="BI199" s="4"/>
      <c r="BJ199" s="10"/>
      <c r="BK199" s="4"/>
      <c r="BL199" s="10"/>
      <c r="BM199" s="4"/>
      <c r="BN199" s="10"/>
      <c r="BO199" s="4"/>
      <c r="BP199" s="10"/>
      <c r="BQ199" s="4"/>
      <c r="BR199" s="10"/>
      <c r="BS199" s="9"/>
      <c r="BT199" s="10"/>
      <c r="BU199" s="9"/>
      <c r="BV199" s="10"/>
      <c r="BW199" s="9"/>
      <c r="BX199" s="4"/>
      <c r="BY199" s="4"/>
      <c r="BZ199" s="4"/>
      <c r="CA199" s="4"/>
      <c r="CB199" s="4"/>
      <c r="CC199" s="4"/>
      <c r="CD199" s="4"/>
      <c r="CE199" s="4"/>
      <c r="CF199" s="4"/>
      <c r="CG199" s="4"/>
      <c r="CH199" s="4"/>
      <c r="CI199" s="4"/>
      <c r="CJ199" s="4"/>
      <c r="CK199" s="4"/>
      <c r="CL199" s="4"/>
      <c r="CM199" s="4"/>
      <c r="CN199" s="4"/>
      <c r="CO199" s="4"/>
      <c r="CP199" s="4"/>
      <c r="CQ199" s="4"/>
      <c r="CR199" s="4"/>
      <c r="CS199" s="4"/>
      <c r="CT199" s="4"/>
      <c r="CU199" s="4"/>
      <c r="CV199" s="4"/>
      <c r="CW199" s="4"/>
      <c r="CX199" s="4"/>
      <c r="CY199" s="4"/>
      <c r="CZ199" s="4"/>
      <c r="DA199" s="4"/>
      <c r="DB199" s="4"/>
      <c r="DC199" s="4"/>
      <c r="DD199" s="4"/>
      <c r="DE199" s="4"/>
      <c r="DF199" s="4"/>
      <c r="DG199" s="4"/>
      <c r="DH199" s="4"/>
      <c r="DI199" s="4"/>
      <c r="DJ199" s="4"/>
      <c r="DK199" s="4"/>
      <c r="DL199" s="4"/>
      <c r="DM199" s="4"/>
      <c r="DN199" s="4"/>
      <c r="DO199" s="4"/>
      <c r="DP199" s="4"/>
      <c r="DQ199" s="4"/>
      <c r="DR199" s="4"/>
      <c r="DS199" s="4"/>
      <c r="DT199" s="4"/>
    </row>
    <row r="200" spans="1:124" s="21" customFormat="1" hidden="1">
      <c r="A200" s="58"/>
      <c r="B200" s="31"/>
      <c r="J200" s="8"/>
      <c r="L200" s="141"/>
      <c r="M200" s="9"/>
      <c r="N200" s="10"/>
      <c r="O200" s="9"/>
      <c r="P200" s="10"/>
      <c r="Q200" s="9"/>
      <c r="R200" s="10"/>
      <c r="S200" s="9"/>
      <c r="T200" s="10"/>
      <c r="U200" s="9"/>
      <c r="V200" s="10"/>
      <c r="W200" s="9"/>
      <c r="X200" s="10"/>
      <c r="Y200" s="9"/>
      <c r="Z200" s="10"/>
      <c r="AA200" s="9"/>
      <c r="AB200" s="10"/>
      <c r="AC200" s="9"/>
      <c r="AD200" s="10"/>
      <c r="AE200" s="9"/>
      <c r="AF200" s="10"/>
      <c r="AG200" s="9"/>
      <c r="AH200" s="10"/>
      <c r="AI200" s="4"/>
      <c r="AJ200" s="10"/>
      <c r="AK200" s="4"/>
      <c r="AL200" s="10"/>
      <c r="AM200" s="4"/>
      <c r="AN200" s="10"/>
      <c r="AO200" s="9"/>
      <c r="AP200" s="10"/>
      <c r="AQ200" s="9"/>
      <c r="AR200" s="10"/>
      <c r="AS200" s="9"/>
      <c r="AT200" s="10"/>
      <c r="AU200" s="10"/>
      <c r="AV200" s="10"/>
      <c r="AW200" s="10"/>
      <c r="AX200" s="10"/>
      <c r="AY200" s="10"/>
      <c r="AZ200" s="10"/>
      <c r="BA200" s="10"/>
      <c r="BB200" s="10"/>
      <c r="BC200" s="10"/>
      <c r="BD200" s="10"/>
      <c r="BE200" s="4"/>
      <c r="BF200" s="10"/>
      <c r="BG200" s="4"/>
      <c r="BH200" s="10"/>
      <c r="BI200" s="4"/>
      <c r="BJ200" s="10"/>
      <c r="BK200" s="4"/>
      <c r="BL200" s="10"/>
      <c r="BM200" s="4"/>
      <c r="BN200" s="10"/>
      <c r="BO200" s="4"/>
      <c r="BP200" s="10"/>
      <c r="BQ200" s="4"/>
      <c r="BR200" s="10"/>
      <c r="BS200" s="9"/>
      <c r="BT200" s="10"/>
      <c r="BU200" s="9"/>
      <c r="BV200" s="10"/>
      <c r="BW200" s="9"/>
      <c r="BX200" s="4"/>
      <c r="BY200" s="4"/>
      <c r="BZ200" s="4"/>
      <c r="CA200" s="4"/>
      <c r="CB200" s="4"/>
      <c r="CC200" s="4"/>
      <c r="CD200" s="4"/>
      <c r="CE200" s="4"/>
      <c r="CF200" s="4"/>
      <c r="CG200" s="4"/>
      <c r="CH200" s="4"/>
      <c r="CI200" s="4"/>
      <c r="CJ200" s="4"/>
      <c r="CK200" s="4"/>
      <c r="CL200" s="4"/>
      <c r="CM200" s="4"/>
      <c r="CN200" s="4"/>
      <c r="CO200" s="4"/>
      <c r="CP200" s="4"/>
      <c r="CQ200" s="4"/>
      <c r="CR200" s="4"/>
      <c r="CS200" s="4"/>
      <c r="CT200" s="4"/>
      <c r="CU200" s="4"/>
      <c r="CV200" s="4"/>
      <c r="CW200" s="4"/>
      <c r="CX200" s="4"/>
      <c r="CY200" s="4"/>
      <c r="CZ200" s="4"/>
      <c r="DA200" s="4"/>
      <c r="DB200" s="4"/>
      <c r="DC200" s="4"/>
      <c r="DD200" s="4"/>
      <c r="DE200" s="4"/>
      <c r="DF200" s="4"/>
      <c r="DG200" s="4"/>
      <c r="DH200" s="4"/>
      <c r="DI200" s="4"/>
      <c r="DJ200" s="4"/>
      <c r="DK200" s="4"/>
      <c r="DL200" s="4"/>
      <c r="DM200" s="4"/>
      <c r="DN200" s="4"/>
      <c r="DO200" s="4"/>
      <c r="DP200" s="4"/>
      <c r="DQ200" s="4"/>
      <c r="DR200" s="4"/>
      <c r="DS200" s="4"/>
      <c r="DT200" s="4"/>
    </row>
    <row r="201" spans="1:124" s="21" customFormat="1" hidden="1">
      <c r="A201" s="58"/>
      <c r="B201" s="31"/>
      <c r="J201" s="8"/>
      <c r="L201" s="141"/>
      <c r="M201" s="9"/>
      <c r="N201" s="10"/>
      <c r="O201" s="9"/>
      <c r="P201" s="10"/>
      <c r="Q201" s="9"/>
      <c r="R201" s="10"/>
      <c r="S201" s="9"/>
      <c r="T201" s="10"/>
      <c r="U201" s="9"/>
      <c r="V201" s="10"/>
      <c r="W201" s="9"/>
      <c r="X201" s="10"/>
      <c r="Y201" s="9"/>
      <c r="Z201" s="10"/>
      <c r="AA201" s="9"/>
      <c r="AB201" s="10"/>
      <c r="AC201" s="9"/>
      <c r="AD201" s="10"/>
      <c r="AE201" s="9"/>
      <c r="AF201" s="10"/>
      <c r="AG201" s="9"/>
      <c r="AH201" s="10"/>
      <c r="AI201" s="4"/>
      <c r="AJ201" s="10"/>
      <c r="AK201" s="4"/>
      <c r="AL201" s="10"/>
      <c r="AM201" s="4"/>
      <c r="AN201" s="10"/>
      <c r="AO201" s="9"/>
      <c r="AP201" s="10"/>
      <c r="AQ201" s="9"/>
      <c r="AR201" s="10"/>
      <c r="AS201" s="9"/>
      <c r="AT201" s="10"/>
      <c r="AU201" s="10"/>
      <c r="AV201" s="10"/>
      <c r="AW201" s="10"/>
      <c r="AX201" s="10"/>
      <c r="AY201" s="10"/>
      <c r="AZ201" s="10"/>
      <c r="BA201" s="10"/>
      <c r="BB201" s="10"/>
      <c r="BC201" s="10"/>
      <c r="BD201" s="10"/>
      <c r="BE201" s="4"/>
      <c r="BF201" s="10"/>
      <c r="BG201" s="4"/>
      <c r="BH201" s="10"/>
      <c r="BI201" s="4"/>
      <c r="BJ201" s="10"/>
      <c r="BK201" s="4"/>
      <c r="BL201" s="10"/>
      <c r="BM201" s="4"/>
      <c r="BN201" s="10"/>
      <c r="BO201" s="4"/>
      <c r="BP201" s="10"/>
      <c r="BQ201" s="4"/>
      <c r="BR201" s="10"/>
      <c r="BS201" s="9"/>
      <c r="BT201" s="10"/>
      <c r="BU201" s="9"/>
      <c r="BV201" s="10"/>
      <c r="BW201" s="9"/>
      <c r="BX201" s="4"/>
      <c r="BY201" s="4"/>
      <c r="BZ201" s="4"/>
      <c r="CA201" s="4"/>
      <c r="CB201" s="4"/>
      <c r="CC201" s="4"/>
      <c r="CD201" s="4"/>
      <c r="CE201" s="4"/>
      <c r="CF201" s="4"/>
      <c r="CG201" s="4"/>
      <c r="CH201" s="4"/>
      <c r="CI201" s="4"/>
      <c r="CJ201" s="4"/>
      <c r="CK201" s="4"/>
      <c r="CL201" s="4"/>
      <c r="CM201" s="4"/>
      <c r="CN201" s="4"/>
      <c r="CO201" s="4"/>
      <c r="CP201" s="4"/>
      <c r="CQ201" s="4"/>
      <c r="CR201" s="4"/>
      <c r="CS201" s="4"/>
      <c r="CT201" s="4"/>
      <c r="CU201" s="4"/>
      <c r="CV201" s="4"/>
      <c r="CW201" s="4"/>
      <c r="CX201" s="4"/>
      <c r="CY201" s="4"/>
      <c r="CZ201" s="4"/>
      <c r="DA201" s="4"/>
      <c r="DB201" s="4"/>
      <c r="DC201" s="4"/>
      <c r="DD201" s="4"/>
      <c r="DE201" s="4"/>
      <c r="DF201" s="4"/>
      <c r="DG201" s="4"/>
      <c r="DH201" s="4"/>
      <c r="DI201" s="4"/>
      <c r="DJ201" s="4"/>
      <c r="DK201" s="4"/>
      <c r="DL201" s="4"/>
      <c r="DM201" s="4"/>
      <c r="DN201" s="4"/>
      <c r="DO201" s="4"/>
      <c r="DP201" s="4"/>
      <c r="DQ201" s="4"/>
      <c r="DR201" s="4"/>
      <c r="DS201" s="4"/>
      <c r="DT201" s="4"/>
    </row>
    <row r="202" spans="1:124" s="21" customFormat="1" hidden="1">
      <c r="A202" s="58"/>
      <c r="B202" s="31"/>
      <c r="J202" s="8"/>
      <c r="L202" s="141"/>
      <c r="M202" s="9"/>
      <c r="N202" s="10"/>
      <c r="O202" s="9"/>
      <c r="P202" s="10"/>
      <c r="Q202" s="9"/>
      <c r="R202" s="10"/>
      <c r="S202" s="9"/>
      <c r="T202" s="10"/>
      <c r="U202" s="9"/>
      <c r="V202" s="10"/>
      <c r="W202" s="9"/>
      <c r="X202" s="10"/>
      <c r="Y202" s="9"/>
      <c r="Z202" s="10"/>
      <c r="AA202" s="9"/>
      <c r="AB202" s="10"/>
      <c r="AC202" s="9"/>
      <c r="AD202" s="10"/>
      <c r="AE202" s="9"/>
      <c r="AF202" s="10"/>
      <c r="AG202" s="9"/>
      <c r="AH202" s="10"/>
      <c r="AI202" s="4"/>
      <c r="AJ202" s="10"/>
      <c r="AK202" s="4"/>
      <c r="AL202" s="10"/>
      <c r="AM202" s="4"/>
      <c r="AN202" s="10"/>
      <c r="AO202" s="9"/>
      <c r="AP202" s="10"/>
      <c r="AQ202" s="9"/>
      <c r="AR202" s="10"/>
      <c r="AS202" s="9"/>
      <c r="AT202" s="10"/>
      <c r="AU202" s="10"/>
      <c r="AV202" s="10"/>
      <c r="AW202" s="10"/>
      <c r="AX202" s="10"/>
      <c r="AY202" s="10"/>
      <c r="AZ202" s="10"/>
      <c r="BA202" s="10"/>
      <c r="BB202" s="10"/>
      <c r="BC202" s="10"/>
      <c r="BD202" s="10"/>
      <c r="BE202" s="4"/>
      <c r="BF202" s="10"/>
      <c r="BG202" s="4"/>
      <c r="BH202" s="10"/>
      <c r="BI202" s="4"/>
      <c r="BJ202" s="10"/>
      <c r="BK202" s="4"/>
      <c r="BL202" s="10"/>
      <c r="BM202" s="4"/>
      <c r="BN202" s="10"/>
      <c r="BO202" s="4"/>
      <c r="BP202" s="10"/>
      <c r="BQ202" s="4"/>
      <c r="BR202" s="10"/>
      <c r="BS202" s="9"/>
      <c r="BT202" s="10"/>
      <c r="BU202" s="9"/>
      <c r="BV202" s="10"/>
      <c r="BW202" s="9"/>
      <c r="BX202" s="4"/>
      <c r="BY202" s="4"/>
      <c r="BZ202" s="4"/>
      <c r="CA202" s="4"/>
      <c r="CB202" s="4"/>
      <c r="CC202" s="4"/>
      <c r="CD202" s="4"/>
      <c r="CE202" s="4"/>
      <c r="CF202" s="4"/>
      <c r="CG202" s="4"/>
      <c r="CH202" s="4"/>
      <c r="CI202" s="4"/>
      <c r="CJ202" s="4"/>
      <c r="CK202" s="4"/>
      <c r="CL202" s="4"/>
      <c r="CM202" s="4"/>
      <c r="CN202" s="4"/>
      <c r="CO202" s="4"/>
      <c r="CP202" s="4"/>
      <c r="CQ202" s="4"/>
      <c r="CR202" s="4"/>
      <c r="CS202" s="4"/>
      <c r="CT202" s="4"/>
      <c r="CU202" s="4"/>
      <c r="CV202" s="4"/>
      <c r="CW202" s="4"/>
      <c r="CX202" s="4"/>
      <c r="CY202" s="4"/>
      <c r="CZ202" s="4"/>
      <c r="DA202" s="4"/>
      <c r="DB202" s="4"/>
      <c r="DC202" s="4"/>
      <c r="DD202" s="4"/>
      <c r="DE202" s="4"/>
      <c r="DF202" s="4"/>
      <c r="DG202" s="4"/>
      <c r="DH202" s="4"/>
      <c r="DI202" s="4"/>
      <c r="DJ202" s="4"/>
      <c r="DK202" s="4"/>
      <c r="DL202" s="4"/>
      <c r="DM202" s="4"/>
      <c r="DN202" s="4"/>
      <c r="DO202" s="4"/>
      <c r="DP202" s="4"/>
      <c r="DQ202" s="4"/>
      <c r="DR202" s="4"/>
      <c r="DS202" s="4"/>
      <c r="DT202" s="4"/>
    </row>
    <row r="203" spans="1:124" s="21" customFormat="1" hidden="1">
      <c r="A203" s="58"/>
      <c r="B203" s="31"/>
      <c r="J203" s="8"/>
      <c r="L203" s="141"/>
      <c r="M203" s="9"/>
      <c r="N203" s="10"/>
      <c r="O203" s="9"/>
      <c r="P203" s="10"/>
      <c r="Q203" s="9"/>
      <c r="R203" s="10"/>
      <c r="S203" s="9"/>
      <c r="T203" s="10"/>
      <c r="U203" s="9"/>
      <c r="V203" s="10"/>
      <c r="W203" s="9"/>
      <c r="X203" s="10"/>
      <c r="Y203" s="9"/>
      <c r="Z203" s="10"/>
      <c r="AA203" s="9"/>
      <c r="AB203" s="10"/>
      <c r="AC203" s="9"/>
      <c r="AD203" s="10"/>
      <c r="AE203" s="9"/>
      <c r="AF203" s="10"/>
      <c r="AG203" s="9"/>
      <c r="AH203" s="10"/>
      <c r="AI203" s="4"/>
      <c r="AJ203" s="10"/>
      <c r="AK203" s="4"/>
      <c r="AL203" s="10"/>
      <c r="AM203" s="4"/>
      <c r="AN203" s="10"/>
      <c r="AO203" s="9"/>
      <c r="AP203" s="10"/>
      <c r="AQ203" s="9"/>
      <c r="AR203" s="10"/>
      <c r="AS203" s="9"/>
      <c r="AT203" s="10"/>
      <c r="AU203" s="10"/>
      <c r="AV203" s="10"/>
      <c r="AW203" s="10"/>
      <c r="AX203" s="10"/>
      <c r="AY203" s="10"/>
      <c r="AZ203" s="10"/>
      <c r="BA203" s="10"/>
      <c r="BB203" s="10"/>
      <c r="BC203" s="10"/>
      <c r="BD203" s="10"/>
      <c r="BE203" s="4"/>
      <c r="BF203" s="10"/>
      <c r="BG203" s="4"/>
      <c r="BH203" s="10"/>
      <c r="BI203" s="4"/>
      <c r="BJ203" s="10"/>
      <c r="BK203" s="4"/>
      <c r="BL203" s="10"/>
      <c r="BM203" s="4"/>
      <c r="BN203" s="10"/>
      <c r="BO203" s="4"/>
      <c r="BP203" s="10"/>
      <c r="BQ203" s="4"/>
      <c r="BR203" s="10"/>
      <c r="BS203" s="9"/>
      <c r="BT203" s="10"/>
      <c r="BU203" s="9"/>
      <c r="BV203" s="10"/>
      <c r="BW203" s="9"/>
      <c r="BX203" s="4"/>
      <c r="BY203" s="4"/>
      <c r="BZ203" s="4"/>
      <c r="CA203" s="4"/>
      <c r="CB203" s="4"/>
      <c r="CC203" s="4"/>
      <c r="CD203" s="4"/>
      <c r="CE203" s="4"/>
      <c r="CF203" s="4"/>
      <c r="CG203" s="4"/>
      <c r="CH203" s="4"/>
      <c r="CI203" s="4"/>
      <c r="CJ203" s="4"/>
      <c r="CK203" s="4"/>
      <c r="CL203" s="4"/>
      <c r="CM203" s="4"/>
      <c r="CN203" s="4"/>
      <c r="CO203" s="4"/>
      <c r="CP203" s="4"/>
      <c r="CQ203" s="4"/>
      <c r="CR203" s="4"/>
      <c r="CS203" s="4"/>
      <c r="CT203" s="4"/>
      <c r="CU203" s="4"/>
      <c r="CV203" s="4"/>
      <c r="CW203" s="4"/>
      <c r="CX203" s="4"/>
      <c r="CY203" s="4"/>
      <c r="CZ203" s="4"/>
      <c r="DA203" s="4"/>
      <c r="DB203" s="4"/>
      <c r="DC203" s="4"/>
      <c r="DD203" s="4"/>
      <c r="DE203" s="4"/>
      <c r="DF203" s="4"/>
      <c r="DG203" s="4"/>
      <c r="DH203" s="4"/>
      <c r="DI203" s="4"/>
      <c r="DJ203" s="4"/>
      <c r="DK203" s="4"/>
      <c r="DL203" s="4"/>
      <c r="DM203" s="4"/>
      <c r="DN203" s="4"/>
      <c r="DO203" s="4"/>
      <c r="DP203" s="4"/>
      <c r="DQ203" s="4"/>
      <c r="DR203" s="4"/>
      <c r="DS203" s="4"/>
      <c r="DT203" s="4"/>
    </row>
    <row r="204" spans="1:124" s="21" customFormat="1" hidden="1">
      <c r="A204" s="58"/>
      <c r="B204" s="31"/>
      <c r="J204" s="8"/>
      <c r="L204" s="141"/>
      <c r="M204" s="9"/>
      <c r="N204" s="10"/>
      <c r="O204" s="9"/>
      <c r="P204" s="10"/>
      <c r="Q204" s="9"/>
      <c r="R204" s="10"/>
      <c r="S204" s="9"/>
      <c r="T204" s="10"/>
      <c r="U204" s="9"/>
      <c r="V204" s="10"/>
      <c r="W204" s="9"/>
      <c r="X204" s="10"/>
      <c r="Y204" s="9"/>
      <c r="Z204" s="10"/>
      <c r="AA204" s="9"/>
      <c r="AB204" s="10"/>
      <c r="AC204" s="9"/>
      <c r="AD204" s="10"/>
      <c r="AE204" s="9"/>
      <c r="AF204" s="10"/>
      <c r="AG204" s="9"/>
      <c r="AH204" s="10"/>
      <c r="AI204" s="4"/>
      <c r="AJ204" s="10"/>
      <c r="AK204" s="4"/>
      <c r="AL204" s="10"/>
      <c r="AM204" s="4"/>
      <c r="AN204" s="10"/>
      <c r="AO204" s="9"/>
      <c r="AP204" s="10"/>
      <c r="AQ204" s="9"/>
      <c r="AR204" s="10"/>
      <c r="AS204" s="9"/>
      <c r="AT204" s="10"/>
      <c r="AU204" s="10"/>
      <c r="AV204" s="10"/>
      <c r="AW204" s="10"/>
      <c r="AX204" s="10"/>
      <c r="AY204" s="10"/>
      <c r="AZ204" s="10"/>
      <c r="BA204" s="10"/>
      <c r="BB204" s="10"/>
      <c r="BC204" s="10"/>
      <c r="BD204" s="10"/>
      <c r="BE204" s="4"/>
      <c r="BF204" s="10"/>
      <c r="BG204" s="4"/>
      <c r="BH204" s="10"/>
      <c r="BI204" s="4"/>
      <c r="BJ204" s="10"/>
      <c r="BK204" s="4"/>
      <c r="BL204" s="10"/>
      <c r="BM204" s="4"/>
      <c r="BN204" s="10"/>
      <c r="BO204" s="4"/>
      <c r="BP204" s="10"/>
      <c r="BQ204" s="4"/>
      <c r="BR204" s="10"/>
      <c r="BS204" s="9"/>
      <c r="BT204" s="10"/>
      <c r="BU204" s="9"/>
      <c r="BV204" s="10"/>
      <c r="BW204" s="9"/>
      <c r="BX204" s="4"/>
      <c r="BY204" s="4"/>
      <c r="BZ204" s="4"/>
      <c r="CA204" s="4"/>
      <c r="CB204" s="4"/>
      <c r="CC204" s="4"/>
      <c r="CD204" s="4"/>
      <c r="CE204" s="4"/>
      <c r="CF204" s="4"/>
      <c r="CG204" s="4"/>
      <c r="CH204" s="4"/>
      <c r="CI204" s="4"/>
      <c r="CJ204" s="4"/>
      <c r="CK204" s="4"/>
      <c r="CL204" s="4"/>
      <c r="CM204" s="4"/>
      <c r="CN204" s="4"/>
      <c r="CO204" s="4"/>
      <c r="CP204" s="4"/>
      <c r="CQ204" s="4"/>
      <c r="CR204" s="4"/>
      <c r="CS204" s="4"/>
      <c r="CT204" s="4"/>
      <c r="CU204" s="4"/>
      <c r="CV204" s="4"/>
      <c r="CW204" s="4"/>
      <c r="CX204" s="4"/>
      <c r="CY204" s="4"/>
      <c r="CZ204" s="4"/>
      <c r="DA204" s="4"/>
      <c r="DB204" s="4"/>
      <c r="DC204" s="4"/>
      <c r="DD204" s="4"/>
      <c r="DE204" s="4"/>
      <c r="DF204" s="4"/>
      <c r="DG204" s="4"/>
      <c r="DH204" s="4"/>
      <c r="DI204" s="4"/>
      <c r="DJ204" s="4"/>
      <c r="DK204" s="4"/>
      <c r="DL204" s="4"/>
      <c r="DM204" s="4"/>
      <c r="DN204" s="4"/>
      <c r="DO204" s="4"/>
      <c r="DP204" s="4"/>
      <c r="DQ204" s="4"/>
      <c r="DR204" s="4"/>
      <c r="DS204" s="4"/>
      <c r="DT204" s="4"/>
    </row>
    <row r="205" spans="1:124" s="21" customFormat="1" hidden="1">
      <c r="A205" s="58"/>
      <c r="B205" s="31"/>
      <c r="J205" s="8"/>
      <c r="L205" s="141"/>
      <c r="M205" s="9"/>
      <c r="N205" s="10"/>
      <c r="O205" s="9"/>
      <c r="P205" s="10"/>
      <c r="Q205" s="9"/>
      <c r="R205" s="10"/>
      <c r="S205" s="9"/>
      <c r="T205" s="10"/>
      <c r="U205" s="9"/>
      <c r="V205" s="10"/>
      <c r="W205" s="9"/>
      <c r="X205" s="10"/>
      <c r="Y205" s="9"/>
      <c r="Z205" s="10"/>
      <c r="AA205" s="9"/>
      <c r="AB205" s="10"/>
      <c r="AC205" s="9"/>
      <c r="AD205" s="10"/>
      <c r="AE205" s="9"/>
      <c r="AF205" s="10"/>
      <c r="AG205" s="9"/>
      <c r="AH205" s="10"/>
      <c r="AI205" s="4"/>
      <c r="AJ205" s="10"/>
      <c r="AK205" s="4"/>
      <c r="AL205" s="10"/>
      <c r="AM205" s="4"/>
      <c r="AN205" s="10"/>
      <c r="AO205" s="9"/>
      <c r="AP205" s="10"/>
      <c r="AQ205" s="9"/>
      <c r="AR205" s="10"/>
      <c r="AS205" s="9"/>
      <c r="AT205" s="10"/>
      <c r="AU205" s="10"/>
      <c r="AV205" s="10"/>
      <c r="AW205" s="10"/>
      <c r="AX205" s="10"/>
      <c r="AY205" s="10"/>
      <c r="AZ205" s="10"/>
      <c r="BA205" s="10"/>
      <c r="BB205" s="10"/>
      <c r="BC205" s="10"/>
      <c r="BD205" s="10"/>
      <c r="BE205" s="4"/>
      <c r="BF205" s="10"/>
      <c r="BG205" s="4"/>
      <c r="BH205" s="10"/>
      <c r="BI205" s="4"/>
      <c r="BJ205" s="10"/>
      <c r="BK205" s="4"/>
      <c r="BL205" s="10"/>
      <c r="BM205" s="4"/>
      <c r="BN205" s="10"/>
      <c r="BO205" s="4"/>
      <c r="BP205" s="10"/>
      <c r="BQ205" s="4"/>
      <c r="BR205" s="10"/>
      <c r="BS205" s="9"/>
      <c r="BT205" s="10"/>
      <c r="BU205" s="9"/>
      <c r="BV205" s="10"/>
      <c r="BW205" s="9"/>
      <c r="BX205" s="4"/>
      <c r="BY205" s="4"/>
      <c r="BZ205" s="4"/>
      <c r="CA205" s="4"/>
      <c r="CB205" s="4"/>
      <c r="CC205" s="4"/>
      <c r="CD205" s="4"/>
      <c r="CE205" s="4"/>
      <c r="CF205" s="4"/>
      <c r="CG205" s="4"/>
      <c r="CH205" s="4"/>
      <c r="CI205" s="4"/>
      <c r="CJ205" s="4"/>
      <c r="CK205" s="4"/>
      <c r="CL205" s="4"/>
      <c r="CM205" s="4"/>
      <c r="CN205" s="4"/>
      <c r="CO205" s="4"/>
      <c r="CP205" s="4"/>
      <c r="CQ205" s="4"/>
      <c r="CR205" s="4"/>
      <c r="CS205" s="4"/>
      <c r="CT205" s="4"/>
      <c r="CU205" s="4"/>
      <c r="CV205" s="4"/>
      <c r="CW205" s="4"/>
      <c r="CX205" s="4"/>
      <c r="CY205" s="4"/>
      <c r="CZ205" s="4"/>
      <c r="DA205" s="4"/>
      <c r="DB205" s="4"/>
      <c r="DC205" s="4"/>
      <c r="DD205" s="4"/>
      <c r="DE205" s="4"/>
      <c r="DF205" s="4"/>
      <c r="DG205" s="4"/>
      <c r="DH205" s="4"/>
      <c r="DI205" s="4"/>
      <c r="DJ205" s="4"/>
      <c r="DK205" s="4"/>
      <c r="DL205" s="4"/>
      <c r="DM205" s="4"/>
      <c r="DN205" s="4"/>
      <c r="DO205" s="4"/>
      <c r="DP205" s="4"/>
      <c r="DQ205" s="4"/>
      <c r="DR205" s="4"/>
      <c r="DS205" s="4"/>
      <c r="DT205" s="4"/>
    </row>
    <row r="206" spans="1:124" s="21" customFormat="1" hidden="1">
      <c r="A206" s="58"/>
      <c r="B206" s="31"/>
      <c r="J206" s="8"/>
      <c r="L206" s="141"/>
      <c r="M206" s="9"/>
      <c r="N206" s="10"/>
      <c r="O206" s="9"/>
      <c r="P206" s="10"/>
      <c r="Q206" s="9"/>
      <c r="R206" s="10"/>
      <c r="S206" s="9"/>
      <c r="T206" s="10"/>
      <c r="U206" s="9"/>
      <c r="V206" s="10"/>
      <c r="W206" s="9"/>
      <c r="X206" s="10"/>
      <c r="Y206" s="9"/>
      <c r="Z206" s="10"/>
      <c r="AA206" s="9"/>
      <c r="AB206" s="10"/>
      <c r="AC206" s="9"/>
      <c r="AD206" s="10"/>
      <c r="AE206" s="9"/>
      <c r="AF206" s="10"/>
      <c r="AG206" s="9"/>
      <c r="AH206" s="10"/>
      <c r="AI206" s="4"/>
      <c r="AJ206" s="10"/>
      <c r="AK206" s="4"/>
      <c r="AL206" s="10"/>
      <c r="AM206" s="4"/>
      <c r="AN206" s="10"/>
      <c r="AO206" s="9"/>
      <c r="AP206" s="10"/>
      <c r="AQ206" s="9"/>
      <c r="AR206" s="10"/>
      <c r="AS206" s="9"/>
      <c r="AT206" s="10"/>
      <c r="AU206" s="10"/>
      <c r="AV206" s="10"/>
      <c r="AW206" s="10"/>
      <c r="AX206" s="10"/>
      <c r="AY206" s="10"/>
      <c r="AZ206" s="10"/>
      <c r="BA206" s="10"/>
      <c r="BB206" s="10"/>
      <c r="BC206" s="10"/>
      <c r="BD206" s="10"/>
      <c r="BE206" s="4"/>
      <c r="BF206" s="10"/>
      <c r="BG206" s="4"/>
      <c r="BH206" s="10"/>
      <c r="BI206" s="4"/>
      <c r="BJ206" s="10"/>
      <c r="BK206" s="4"/>
      <c r="BL206" s="10"/>
      <c r="BM206" s="4"/>
      <c r="BN206" s="10"/>
      <c r="BO206" s="4"/>
      <c r="BP206" s="10"/>
      <c r="BQ206" s="4"/>
      <c r="BR206" s="10"/>
      <c r="BS206" s="9"/>
      <c r="BT206" s="10"/>
      <c r="BU206" s="9"/>
      <c r="BV206" s="10"/>
      <c r="BW206" s="9"/>
      <c r="BX206" s="4"/>
      <c r="BY206" s="4"/>
      <c r="BZ206" s="4"/>
      <c r="CA206" s="4"/>
      <c r="CB206" s="4"/>
      <c r="CC206" s="4"/>
      <c r="CD206" s="4"/>
      <c r="CE206" s="4"/>
      <c r="CF206" s="4"/>
      <c r="CG206" s="4"/>
      <c r="CH206" s="4"/>
      <c r="CI206" s="4"/>
      <c r="CJ206" s="4"/>
      <c r="CK206" s="4"/>
      <c r="CL206" s="4"/>
      <c r="CM206" s="4"/>
      <c r="CN206" s="4"/>
      <c r="CO206" s="4"/>
      <c r="CP206" s="4"/>
      <c r="CQ206" s="4"/>
      <c r="CR206" s="4"/>
      <c r="CS206" s="4"/>
      <c r="CT206" s="4"/>
      <c r="CU206" s="4"/>
      <c r="CV206" s="4"/>
      <c r="CW206" s="4"/>
      <c r="CX206" s="4"/>
      <c r="CY206" s="4"/>
      <c r="CZ206" s="4"/>
      <c r="DA206" s="4"/>
      <c r="DB206" s="4"/>
      <c r="DC206" s="4"/>
      <c r="DD206" s="4"/>
      <c r="DE206" s="4"/>
      <c r="DF206" s="4"/>
      <c r="DG206" s="4"/>
      <c r="DH206" s="4"/>
      <c r="DI206" s="4"/>
      <c r="DJ206" s="4"/>
      <c r="DK206" s="4"/>
      <c r="DL206" s="4"/>
      <c r="DM206" s="4"/>
      <c r="DN206" s="4"/>
      <c r="DO206" s="4"/>
      <c r="DP206" s="4"/>
      <c r="DQ206" s="4"/>
      <c r="DR206" s="4"/>
      <c r="DS206" s="4"/>
      <c r="DT206" s="4"/>
    </row>
    <row r="207" spans="1:124" s="21" customFormat="1" hidden="1">
      <c r="A207" s="58"/>
      <c r="B207" s="31"/>
      <c r="J207" s="8"/>
      <c r="L207" s="141"/>
      <c r="M207" s="9"/>
      <c r="N207" s="10"/>
      <c r="O207" s="9"/>
      <c r="P207" s="10"/>
      <c r="Q207" s="9"/>
      <c r="R207" s="10"/>
      <c r="S207" s="9"/>
      <c r="T207" s="10"/>
      <c r="U207" s="9"/>
      <c r="V207" s="10"/>
      <c r="W207" s="9"/>
      <c r="X207" s="10"/>
      <c r="Y207" s="9"/>
      <c r="Z207" s="10"/>
      <c r="AA207" s="9"/>
      <c r="AB207" s="10"/>
      <c r="AC207" s="9"/>
      <c r="AD207" s="10"/>
      <c r="AE207" s="9"/>
      <c r="AF207" s="10"/>
      <c r="AG207" s="9"/>
      <c r="AH207" s="10"/>
      <c r="AI207" s="4"/>
      <c r="AJ207" s="10"/>
      <c r="AK207" s="4"/>
      <c r="AL207" s="10"/>
      <c r="AM207" s="4"/>
      <c r="AN207" s="10"/>
      <c r="AO207" s="9"/>
      <c r="AP207" s="10"/>
      <c r="AQ207" s="9"/>
      <c r="AR207" s="10"/>
      <c r="AS207" s="9"/>
      <c r="AT207" s="10"/>
      <c r="AU207" s="10"/>
      <c r="AV207" s="10"/>
      <c r="AW207" s="10"/>
      <c r="AX207" s="10"/>
      <c r="AY207" s="10"/>
      <c r="AZ207" s="10"/>
      <c r="BA207" s="10"/>
      <c r="BB207" s="10"/>
      <c r="BC207" s="10"/>
      <c r="BD207" s="10"/>
      <c r="BE207" s="4"/>
      <c r="BF207" s="10"/>
      <c r="BG207" s="4"/>
      <c r="BH207" s="10"/>
      <c r="BI207" s="4"/>
      <c r="BJ207" s="10"/>
      <c r="BK207" s="4"/>
      <c r="BL207" s="10"/>
      <c r="BM207" s="4"/>
      <c r="BN207" s="10"/>
      <c r="BO207" s="4"/>
      <c r="BP207" s="10"/>
      <c r="BQ207" s="4"/>
      <c r="BR207" s="10"/>
      <c r="BS207" s="9"/>
      <c r="BT207" s="10"/>
      <c r="BU207" s="9"/>
      <c r="BV207" s="10"/>
      <c r="BW207" s="9"/>
      <c r="BX207" s="4"/>
      <c r="BY207" s="4"/>
      <c r="BZ207" s="4"/>
      <c r="CA207" s="4"/>
      <c r="CB207" s="4"/>
      <c r="CC207" s="4"/>
      <c r="CD207" s="4"/>
      <c r="CE207" s="4"/>
      <c r="CF207" s="4"/>
      <c r="CG207" s="4"/>
      <c r="CH207" s="4"/>
      <c r="CI207" s="4"/>
      <c r="CJ207" s="4"/>
      <c r="CK207" s="4"/>
      <c r="CL207" s="4"/>
      <c r="CM207" s="4"/>
      <c r="CN207" s="4"/>
      <c r="CO207" s="4"/>
      <c r="CP207" s="4"/>
      <c r="CQ207" s="4"/>
      <c r="CR207" s="4"/>
      <c r="CS207" s="4"/>
      <c r="CT207" s="4"/>
      <c r="CU207" s="4"/>
      <c r="CV207" s="4"/>
      <c r="CW207" s="4"/>
      <c r="CX207" s="4"/>
      <c r="CY207" s="4"/>
      <c r="CZ207" s="4"/>
      <c r="DA207" s="4"/>
      <c r="DB207" s="4"/>
      <c r="DC207" s="4"/>
      <c r="DD207" s="4"/>
      <c r="DE207" s="4"/>
      <c r="DF207" s="4"/>
      <c r="DG207" s="4"/>
      <c r="DH207" s="4"/>
      <c r="DI207" s="4"/>
      <c r="DJ207" s="4"/>
      <c r="DK207" s="4"/>
      <c r="DL207" s="4"/>
      <c r="DM207" s="4"/>
      <c r="DN207" s="4"/>
      <c r="DO207" s="4"/>
      <c r="DP207" s="4"/>
      <c r="DQ207" s="4"/>
      <c r="DR207" s="4"/>
      <c r="DS207" s="4"/>
      <c r="DT207" s="4"/>
    </row>
    <row r="208" spans="1:124" s="21" customFormat="1" hidden="1">
      <c r="A208" s="58"/>
      <c r="B208" s="31"/>
      <c r="J208" s="8"/>
      <c r="L208" s="141"/>
      <c r="M208" s="9"/>
      <c r="N208" s="10"/>
      <c r="O208" s="9"/>
      <c r="P208" s="10"/>
      <c r="Q208" s="9"/>
      <c r="R208" s="10"/>
      <c r="S208" s="9"/>
      <c r="T208" s="10"/>
      <c r="U208" s="9"/>
      <c r="V208" s="10"/>
      <c r="W208" s="9"/>
      <c r="X208" s="10"/>
      <c r="Y208" s="9"/>
      <c r="Z208" s="10"/>
      <c r="AA208" s="9"/>
      <c r="AB208" s="10"/>
      <c r="AC208" s="9"/>
      <c r="AD208" s="10"/>
      <c r="AE208" s="9"/>
      <c r="AF208" s="10"/>
      <c r="AG208" s="9"/>
      <c r="AH208" s="10"/>
      <c r="AI208" s="4"/>
      <c r="AJ208" s="10"/>
      <c r="AK208" s="4"/>
      <c r="AL208" s="10"/>
      <c r="AM208" s="4"/>
      <c r="AN208" s="10"/>
      <c r="AO208" s="9"/>
      <c r="AP208" s="10"/>
      <c r="AQ208" s="9"/>
      <c r="AR208" s="10"/>
      <c r="AS208" s="9"/>
      <c r="AT208" s="10"/>
      <c r="AU208" s="10"/>
      <c r="AV208" s="10"/>
      <c r="AW208" s="10"/>
      <c r="AX208" s="10"/>
      <c r="AY208" s="10"/>
      <c r="AZ208" s="10"/>
      <c r="BA208" s="10"/>
      <c r="BB208" s="10"/>
      <c r="BC208" s="10"/>
      <c r="BD208" s="10"/>
      <c r="BE208" s="4"/>
      <c r="BF208" s="10"/>
      <c r="BG208" s="4"/>
      <c r="BH208" s="10"/>
      <c r="BI208" s="4"/>
      <c r="BJ208" s="10"/>
      <c r="BK208" s="4"/>
      <c r="BL208" s="10"/>
      <c r="BM208" s="4"/>
      <c r="BN208" s="10"/>
      <c r="BO208" s="4"/>
      <c r="BP208" s="10"/>
      <c r="BQ208" s="4"/>
      <c r="BR208" s="10"/>
      <c r="BS208" s="9"/>
      <c r="BT208" s="10"/>
      <c r="BU208" s="9"/>
      <c r="BV208" s="10"/>
      <c r="BW208" s="9"/>
      <c r="BX208" s="4"/>
      <c r="BY208" s="4"/>
      <c r="BZ208" s="4"/>
      <c r="CA208" s="4"/>
      <c r="CB208" s="4"/>
      <c r="CC208" s="4"/>
      <c r="CD208" s="4"/>
      <c r="CE208" s="4"/>
      <c r="CF208" s="4"/>
      <c r="CG208" s="4"/>
      <c r="CH208" s="4"/>
      <c r="CI208" s="4"/>
      <c r="CJ208" s="4"/>
      <c r="CK208" s="4"/>
      <c r="CL208" s="4"/>
      <c r="CM208" s="4"/>
      <c r="CN208" s="4"/>
      <c r="CO208" s="4"/>
      <c r="CP208" s="4"/>
      <c r="CQ208" s="4"/>
      <c r="CR208" s="4"/>
      <c r="CS208" s="4"/>
      <c r="CT208" s="4"/>
      <c r="CU208" s="4"/>
      <c r="CV208" s="4"/>
      <c r="CW208" s="4"/>
      <c r="CX208" s="4"/>
      <c r="CY208" s="4"/>
      <c r="CZ208" s="4"/>
      <c r="DA208" s="4"/>
      <c r="DB208" s="4"/>
      <c r="DC208" s="4"/>
      <c r="DD208" s="4"/>
      <c r="DE208" s="4"/>
      <c r="DF208" s="4"/>
      <c r="DG208" s="4"/>
      <c r="DH208" s="4"/>
      <c r="DI208" s="4"/>
      <c r="DJ208" s="4"/>
      <c r="DK208" s="4"/>
      <c r="DL208" s="4"/>
      <c r="DM208" s="4"/>
      <c r="DN208" s="4"/>
      <c r="DO208" s="4"/>
      <c r="DP208" s="4"/>
      <c r="DQ208" s="4"/>
      <c r="DR208" s="4"/>
      <c r="DS208" s="4"/>
      <c r="DT208" s="4"/>
    </row>
    <row r="209" spans="1:124" s="21" customFormat="1" hidden="1">
      <c r="A209" s="58"/>
      <c r="B209" s="31"/>
      <c r="J209" s="8"/>
      <c r="L209" s="141"/>
      <c r="M209" s="9"/>
      <c r="N209" s="10"/>
      <c r="O209" s="9"/>
      <c r="P209" s="10"/>
      <c r="Q209" s="9"/>
      <c r="R209" s="10"/>
      <c r="S209" s="9"/>
      <c r="T209" s="10"/>
      <c r="U209" s="9"/>
      <c r="V209" s="10"/>
      <c r="W209" s="9"/>
      <c r="X209" s="10"/>
      <c r="Y209" s="9"/>
      <c r="Z209" s="10"/>
      <c r="AA209" s="9"/>
      <c r="AB209" s="10"/>
      <c r="AC209" s="9"/>
      <c r="AD209" s="10"/>
      <c r="AE209" s="9"/>
      <c r="AF209" s="10"/>
      <c r="AG209" s="9"/>
      <c r="AH209" s="10"/>
      <c r="AI209" s="4"/>
      <c r="AJ209" s="10"/>
      <c r="AK209" s="4"/>
      <c r="AL209" s="10"/>
      <c r="AM209" s="4"/>
      <c r="AN209" s="10"/>
      <c r="AO209" s="9"/>
      <c r="AP209" s="10"/>
      <c r="AQ209" s="9"/>
      <c r="AR209" s="10"/>
      <c r="AS209" s="9"/>
      <c r="AT209" s="10"/>
      <c r="AU209" s="10"/>
      <c r="AV209" s="10"/>
      <c r="AW209" s="10"/>
      <c r="AX209" s="10"/>
      <c r="AY209" s="10"/>
      <c r="AZ209" s="10"/>
      <c r="BA209" s="10"/>
      <c r="BB209" s="10"/>
      <c r="BC209" s="10"/>
      <c r="BD209" s="10"/>
      <c r="BE209" s="4"/>
      <c r="BF209" s="10"/>
      <c r="BG209" s="4"/>
      <c r="BH209" s="10"/>
      <c r="BI209" s="4"/>
      <c r="BJ209" s="10"/>
      <c r="BK209" s="4"/>
      <c r="BL209" s="10"/>
      <c r="BM209" s="4"/>
      <c r="BN209" s="10"/>
      <c r="BO209" s="4"/>
      <c r="BP209" s="10"/>
      <c r="BQ209" s="4"/>
      <c r="BR209" s="10"/>
      <c r="BS209" s="9"/>
      <c r="BT209" s="10"/>
      <c r="BU209" s="9"/>
      <c r="BV209" s="10"/>
      <c r="BW209" s="9"/>
      <c r="BX209" s="4"/>
      <c r="BY209" s="4"/>
      <c r="BZ209" s="4"/>
      <c r="CA209" s="4"/>
      <c r="CB209" s="4"/>
      <c r="CC209" s="4"/>
      <c r="CD209" s="4"/>
      <c r="CE209" s="4"/>
      <c r="CF209" s="4"/>
      <c r="CG209" s="4"/>
      <c r="CH209" s="4"/>
      <c r="CI209" s="4"/>
      <c r="CJ209" s="4"/>
      <c r="CK209" s="4"/>
      <c r="CL209" s="4"/>
      <c r="CM209" s="4"/>
      <c r="CN209" s="4"/>
      <c r="CO209" s="4"/>
      <c r="CP209" s="4"/>
      <c r="CQ209" s="4"/>
      <c r="CR209" s="4"/>
      <c r="CS209" s="4"/>
      <c r="CT209" s="4"/>
      <c r="CU209" s="4"/>
      <c r="CV209" s="4"/>
      <c r="CW209" s="4"/>
      <c r="CX209" s="4"/>
      <c r="CY209" s="4"/>
      <c r="CZ209" s="4"/>
      <c r="DA209" s="4"/>
      <c r="DB209" s="4"/>
      <c r="DC209" s="4"/>
      <c r="DD209" s="4"/>
      <c r="DE209" s="4"/>
      <c r="DF209" s="4"/>
      <c r="DG209" s="4"/>
      <c r="DH209" s="4"/>
      <c r="DI209" s="4"/>
      <c r="DJ209" s="4"/>
      <c r="DK209" s="4"/>
      <c r="DL209" s="4"/>
      <c r="DM209" s="4"/>
      <c r="DN209" s="4"/>
      <c r="DO209" s="4"/>
      <c r="DP209" s="4"/>
      <c r="DQ209" s="4"/>
      <c r="DR209" s="4"/>
      <c r="DS209" s="4"/>
      <c r="DT209" s="4"/>
    </row>
    <row r="210" spans="1:124" s="21" customFormat="1" hidden="1">
      <c r="A210" s="58"/>
      <c r="B210" s="31"/>
      <c r="J210" s="8"/>
      <c r="L210" s="141"/>
      <c r="M210" s="9"/>
      <c r="N210" s="10"/>
      <c r="O210" s="9"/>
      <c r="P210" s="10"/>
      <c r="Q210" s="9"/>
      <c r="R210" s="10"/>
      <c r="S210" s="9"/>
      <c r="T210" s="10"/>
      <c r="U210" s="9"/>
      <c r="V210" s="10"/>
      <c r="W210" s="9"/>
      <c r="X210" s="10"/>
      <c r="Y210" s="9"/>
      <c r="Z210" s="10"/>
      <c r="AA210" s="9"/>
      <c r="AB210" s="10"/>
      <c r="AC210" s="9"/>
      <c r="AD210" s="10"/>
      <c r="AE210" s="9"/>
      <c r="AF210" s="10"/>
      <c r="AG210" s="9"/>
      <c r="AH210" s="10"/>
      <c r="AI210" s="4"/>
      <c r="AJ210" s="10"/>
      <c r="AK210" s="4"/>
      <c r="AL210" s="10"/>
      <c r="AM210" s="4"/>
      <c r="AN210" s="10"/>
      <c r="AO210" s="9"/>
      <c r="AP210" s="10"/>
      <c r="AQ210" s="9"/>
      <c r="AR210" s="10"/>
      <c r="AS210" s="9"/>
      <c r="AT210" s="10"/>
      <c r="AU210" s="10"/>
      <c r="AV210" s="10"/>
      <c r="AW210" s="10"/>
      <c r="AX210" s="10"/>
      <c r="AY210" s="10"/>
      <c r="AZ210" s="10"/>
      <c r="BA210" s="10"/>
      <c r="BB210" s="10"/>
      <c r="BC210" s="10"/>
      <c r="BD210" s="10"/>
      <c r="BE210" s="4"/>
      <c r="BF210" s="10"/>
      <c r="BG210" s="4"/>
      <c r="BH210" s="10"/>
      <c r="BI210" s="4"/>
      <c r="BJ210" s="10"/>
      <c r="BK210" s="4"/>
      <c r="BL210" s="10"/>
      <c r="BM210" s="4"/>
      <c r="BN210" s="10"/>
      <c r="BO210" s="4"/>
      <c r="BP210" s="10"/>
      <c r="BQ210" s="4"/>
      <c r="BR210" s="10"/>
      <c r="BS210" s="9"/>
      <c r="BT210" s="10"/>
      <c r="BU210" s="9"/>
      <c r="BV210" s="10"/>
      <c r="BW210" s="9"/>
      <c r="BX210" s="4"/>
      <c r="BY210" s="4"/>
      <c r="BZ210" s="4"/>
      <c r="CA210" s="4"/>
      <c r="CB210" s="4"/>
      <c r="CC210" s="4"/>
      <c r="CD210" s="4"/>
      <c r="CE210" s="4"/>
      <c r="CF210" s="4"/>
      <c r="CG210" s="4"/>
      <c r="CH210" s="4"/>
      <c r="CI210" s="4"/>
      <c r="CJ210" s="4"/>
      <c r="CK210" s="4"/>
      <c r="CL210" s="4"/>
      <c r="CM210" s="4"/>
      <c r="CN210" s="4"/>
      <c r="CO210" s="4"/>
      <c r="CP210" s="4"/>
      <c r="CQ210" s="4"/>
      <c r="CR210" s="4"/>
      <c r="CS210" s="4"/>
      <c r="CT210" s="4"/>
      <c r="CU210" s="4"/>
      <c r="CV210" s="4"/>
      <c r="CW210" s="4"/>
      <c r="CX210" s="4"/>
      <c r="CY210" s="4"/>
      <c r="CZ210" s="4"/>
      <c r="DA210" s="4"/>
      <c r="DB210" s="4"/>
      <c r="DC210" s="4"/>
      <c r="DD210" s="4"/>
      <c r="DE210" s="4"/>
      <c r="DF210" s="4"/>
      <c r="DG210" s="4"/>
      <c r="DH210" s="4"/>
      <c r="DI210" s="4"/>
      <c r="DJ210" s="4"/>
      <c r="DK210" s="4"/>
      <c r="DL210" s="4"/>
      <c r="DM210" s="4"/>
      <c r="DN210" s="4"/>
      <c r="DO210" s="4"/>
      <c r="DP210" s="4"/>
      <c r="DQ210" s="4"/>
      <c r="DR210" s="4"/>
      <c r="DS210" s="4"/>
      <c r="DT210" s="4"/>
    </row>
    <row r="211" spans="1:124" s="21" customFormat="1" hidden="1">
      <c r="A211" s="58"/>
      <c r="B211" s="31"/>
      <c r="J211" s="8"/>
      <c r="L211" s="141"/>
      <c r="M211" s="9"/>
      <c r="N211" s="10"/>
      <c r="O211" s="9"/>
      <c r="P211" s="10"/>
      <c r="Q211" s="9"/>
      <c r="R211" s="10"/>
      <c r="S211" s="9"/>
      <c r="T211" s="10"/>
      <c r="U211" s="9"/>
      <c r="V211" s="10"/>
      <c r="W211" s="9"/>
      <c r="X211" s="10"/>
      <c r="Y211" s="9"/>
      <c r="Z211" s="10"/>
      <c r="AA211" s="9"/>
      <c r="AB211" s="10"/>
      <c r="AC211" s="9"/>
      <c r="AD211" s="10"/>
      <c r="AE211" s="9"/>
      <c r="AF211" s="10"/>
      <c r="AG211" s="9"/>
      <c r="AH211" s="10"/>
      <c r="AI211" s="4"/>
      <c r="AJ211" s="10"/>
      <c r="AK211" s="4"/>
      <c r="AL211" s="10"/>
      <c r="AM211" s="4"/>
      <c r="AN211" s="10"/>
      <c r="AO211" s="9"/>
      <c r="AP211" s="10"/>
      <c r="AQ211" s="9"/>
      <c r="AR211" s="10"/>
      <c r="AS211" s="9"/>
      <c r="AT211" s="10"/>
      <c r="AU211" s="10"/>
      <c r="AV211" s="10"/>
      <c r="AW211" s="10"/>
      <c r="AX211" s="10"/>
      <c r="AY211" s="10"/>
      <c r="AZ211" s="10"/>
      <c r="BA211" s="10"/>
      <c r="BB211" s="10"/>
      <c r="BC211" s="10"/>
      <c r="BD211" s="10"/>
      <c r="BE211" s="4"/>
      <c r="BF211" s="10"/>
      <c r="BG211" s="4"/>
      <c r="BH211" s="10"/>
      <c r="BI211" s="4"/>
      <c r="BJ211" s="10"/>
      <c r="BK211" s="4"/>
      <c r="BL211" s="10"/>
      <c r="BM211" s="4"/>
      <c r="BN211" s="10"/>
      <c r="BO211" s="4"/>
      <c r="BP211" s="10"/>
      <c r="BQ211" s="4"/>
      <c r="BR211" s="10"/>
      <c r="BS211" s="9"/>
      <c r="BT211" s="10"/>
      <c r="BU211" s="9"/>
      <c r="BV211" s="10"/>
      <c r="BW211" s="9"/>
      <c r="BX211" s="4"/>
      <c r="BY211" s="4"/>
      <c r="BZ211" s="4"/>
      <c r="CA211" s="4"/>
      <c r="CB211" s="4"/>
      <c r="CC211" s="4"/>
      <c r="CD211" s="4"/>
      <c r="CE211" s="4"/>
      <c r="CF211" s="4"/>
      <c r="CG211" s="4"/>
      <c r="CH211" s="4"/>
      <c r="CI211" s="4"/>
      <c r="CJ211" s="4"/>
      <c r="CK211" s="4"/>
      <c r="CL211" s="4"/>
      <c r="CM211" s="4"/>
      <c r="CN211" s="4"/>
      <c r="CO211" s="4"/>
      <c r="CP211" s="4"/>
      <c r="CQ211" s="4"/>
      <c r="CR211" s="4"/>
      <c r="CS211" s="4"/>
      <c r="CT211" s="4"/>
      <c r="CU211" s="4"/>
      <c r="CV211" s="4"/>
      <c r="CW211" s="4"/>
      <c r="CX211" s="4"/>
      <c r="CY211" s="4"/>
      <c r="CZ211" s="4"/>
      <c r="DA211" s="4"/>
      <c r="DB211" s="4"/>
      <c r="DC211" s="4"/>
      <c r="DD211" s="4"/>
      <c r="DE211" s="4"/>
      <c r="DF211" s="4"/>
      <c r="DG211" s="4"/>
      <c r="DH211" s="4"/>
      <c r="DI211" s="4"/>
      <c r="DJ211" s="4"/>
      <c r="DK211" s="4"/>
      <c r="DL211" s="4"/>
      <c r="DM211" s="4"/>
      <c r="DN211" s="4"/>
      <c r="DO211" s="4"/>
      <c r="DP211" s="4"/>
      <c r="DQ211" s="4"/>
      <c r="DR211" s="4"/>
      <c r="DS211" s="4"/>
      <c r="DT211" s="4"/>
    </row>
    <row r="212" spans="1:124" s="21" customFormat="1" hidden="1">
      <c r="A212" s="58"/>
      <c r="B212" s="31"/>
      <c r="J212" s="8"/>
      <c r="L212" s="141"/>
      <c r="M212" s="9"/>
      <c r="N212" s="10"/>
      <c r="O212" s="9"/>
      <c r="P212" s="10"/>
      <c r="Q212" s="9"/>
      <c r="R212" s="10"/>
      <c r="S212" s="9"/>
      <c r="T212" s="10"/>
      <c r="U212" s="9"/>
      <c r="V212" s="10"/>
      <c r="W212" s="9"/>
      <c r="X212" s="10"/>
      <c r="Y212" s="9"/>
      <c r="Z212" s="10"/>
      <c r="AA212" s="9"/>
      <c r="AB212" s="10"/>
      <c r="AC212" s="9"/>
      <c r="AD212" s="10"/>
      <c r="AE212" s="9"/>
      <c r="AF212" s="10"/>
      <c r="AG212" s="9"/>
      <c r="AH212" s="10"/>
      <c r="AI212" s="4"/>
      <c r="AJ212" s="10"/>
      <c r="AK212" s="4"/>
      <c r="AL212" s="10"/>
      <c r="AM212" s="4"/>
      <c r="AN212" s="10"/>
      <c r="AO212" s="9"/>
      <c r="AP212" s="10"/>
      <c r="AQ212" s="9"/>
      <c r="AR212" s="10"/>
      <c r="AS212" s="9"/>
      <c r="AT212" s="10"/>
      <c r="AU212" s="10"/>
      <c r="AV212" s="10"/>
      <c r="AW212" s="10"/>
      <c r="AX212" s="10"/>
      <c r="AY212" s="10"/>
      <c r="AZ212" s="10"/>
      <c r="BA212" s="10"/>
      <c r="BB212" s="10"/>
      <c r="BC212" s="10"/>
      <c r="BD212" s="10"/>
      <c r="BE212" s="4"/>
      <c r="BF212" s="10"/>
      <c r="BG212" s="4"/>
      <c r="BH212" s="10"/>
      <c r="BI212" s="4"/>
      <c r="BJ212" s="10"/>
      <c r="BK212" s="4"/>
      <c r="BL212" s="10"/>
      <c r="BM212" s="4"/>
      <c r="BN212" s="10"/>
      <c r="BO212" s="4"/>
      <c r="BP212" s="10"/>
      <c r="BQ212" s="4"/>
      <c r="BR212" s="10"/>
      <c r="BS212" s="9"/>
      <c r="BT212" s="10"/>
      <c r="BU212" s="9"/>
      <c r="BV212" s="10"/>
      <c r="BW212" s="9"/>
      <c r="BX212" s="4"/>
      <c r="BY212" s="4"/>
      <c r="BZ212" s="4"/>
      <c r="CA212" s="4"/>
      <c r="CB212" s="4"/>
      <c r="CC212" s="4"/>
      <c r="CD212" s="4"/>
      <c r="CE212" s="4"/>
      <c r="CF212" s="4"/>
      <c r="CG212" s="4"/>
      <c r="CH212" s="4"/>
      <c r="CI212" s="4"/>
      <c r="CJ212" s="4"/>
      <c r="CK212" s="4"/>
      <c r="CL212" s="4"/>
      <c r="CM212" s="4"/>
      <c r="CN212" s="4"/>
      <c r="CO212" s="4"/>
      <c r="CP212" s="4"/>
      <c r="CQ212" s="4"/>
      <c r="CR212" s="4"/>
      <c r="CS212" s="4"/>
      <c r="CT212" s="4"/>
      <c r="CU212" s="4"/>
      <c r="CV212" s="4"/>
      <c r="CW212" s="4"/>
      <c r="CX212" s="4"/>
      <c r="CY212" s="4"/>
      <c r="CZ212" s="4"/>
      <c r="DA212" s="4"/>
      <c r="DB212" s="4"/>
      <c r="DC212" s="4"/>
      <c r="DD212" s="4"/>
      <c r="DE212" s="4"/>
      <c r="DF212" s="4"/>
      <c r="DG212" s="4"/>
      <c r="DH212" s="4"/>
      <c r="DI212" s="4"/>
      <c r="DJ212" s="4"/>
      <c r="DK212" s="4"/>
      <c r="DL212" s="4"/>
      <c r="DM212" s="4"/>
      <c r="DN212" s="4"/>
      <c r="DO212" s="4"/>
      <c r="DP212" s="4"/>
      <c r="DQ212" s="4"/>
      <c r="DR212" s="4"/>
      <c r="DS212" s="4"/>
      <c r="DT212" s="4"/>
    </row>
    <row r="213" spans="1:124" s="21" customFormat="1" hidden="1">
      <c r="A213" s="58"/>
      <c r="B213" s="31"/>
      <c r="J213" s="8"/>
      <c r="L213" s="141"/>
      <c r="M213" s="9"/>
      <c r="N213" s="10"/>
      <c r="O213" s="9"/>
      <c r="P213" s="10"/>
      <c r="Q213" s="9"/>
      <c r="R213" s="10"/>
      <c r="S213" s="9"/>
      <c r="T213" s="10"/>
      <c r="U213" s="9"/>
      <c r="V213" s="10"/>
      <c r="W213" s="9"/>
      <c r="X213" s="10"/>
      <c r="Y213" s="9"/>
      <c r="Z213" s="10"/>
      <c r="AA213" s="9"/>
      <c r="AB213" s="10"/>
      <c r="AC213" s="9"/>
      <c r="AD213" s="10"/>
      <c r="AE213" s="9"/>
      <c r="AF213" s="10"/>
      <c r="AG213" s="9"/>
      <c r="AH213" s="10"/>
      <c r="AI213" s="4"/>
      <c r="AJ213" s="10"/>
      <c r="AK213" s="4"/>
      <c r="AL213" s="10"/>
      <c r="AM213" s="4"/>
      <c r="AN213" s="10"/>
      <c r="AO213" s="9"/>
      <c r="AP213" s="10"/>
      <c r="AQ213" s="9"/>
      <c r="AR213" s="10"/>
      <c r="AS213" s="9"/>
      <c r="AT213" s="10"/>
      <c r="AU213" s="10"/>
      <c r="AV213" s="10"/>
      <c r="AW213" s="10"/>
      <c r="AX213" s="10"/>
      <c r="AY213" s="10"/>
      <c r="AZ213" s="10"/>
      <c r="BA213" s="10"/>
      <c r="BB213" s="10"/>
      <c r="BC213" s="10"/>
      <c r="BD213" s="10"/>
      <c r="BE213" s="4"/>
      <c r="BF213" s="10"/>
      <c r="BG213" s="4"/>
      <c r="BH213" s="10"/>
      <c r="BI213" s="4"/>
      <c r="BJ213" s="10"/>
      <c r="BK213" s="4"/>
      <c r="BL213" s="10"/>
      <c r="BM213" s="4"/>
      <c r="BN213" s="10"/>
      <c r="BO213" s="4"/>
      <c r="BP213" s="10"/>
      <c r="BQ213" s="4"/>
      <c r="BR213" s="10"/>
      <c r="BS213" s="9"/>
      <c r="BT213" s="10"/>
      <c r="BU213" s="9"/>
      <c r="BV213" s="10"/>
      <c r="BW213" s="9"/>
      <c r="BX213" s="4"/>
      <c r="BY213" s="4"/>
      <c r="BZ213" s="4"/>
      <c r="CA213" s="4"/>
      <c r="CB213" s="4"/>
      <c r="CC213" s="4"/>
      <c r="CD213" s="4"/>
      <c r="CE213" s="4"/>
      <c r="CF213" s="4"/>
      <c r="CG213" s="4"/>
      <c r="CH213" s="4"/>
      <c r="CI213" s="4"/>
      <c r="CJ213" s="4"/>
      <c r="CK213" s="4"/>
      <c r="CL213" s="4"/>
      <c r="CM213" s="4"/>
      <c r="CN213" s="4"/>
      <c r="CO213" s="4"/>
      <c r="CP213" s="4"/>
      <c r="CQ213" s="4"/>
      <c r="CR213" s="4"/>
      <c r="CS213" s="4"/>
      <c r="CT213" s="4"/>
      <c r="CU213" s="4"/>
      <c r="CV213" s="4"/>
      <c r="CW213" s="4"/>
      <c r="CX213" s="4"/>
      <c r="CY213" s="4"/>
      <c r="CZ213" s="4"/>
      <c r="DA213" s="4"/>
      <c r="DB213" s="4"/>
      <c r="DC213" s="4"/>
      <c r="DD213" s="4"/>
      <c r="DE213" s="4"/>
      <c r="DF213" s="4"/>
      <c r="DG213" s="4"/>
      <c r="DH213" s="4"/>
      <c r="DI213" s="4"/>
      <c r="DJ213" s="4"/>
      <c r="DK213" s="4"/>
      <c r="DL213" s="4"/>
      <c r="DM213" s="4"/>
      <c r="DN213" s="4"/>
      <c r="DO213" s="4"/>
      <c r="DP213" s="4"/>
      <c r="DQ213" s="4"/>
      <c r="DR213" s="4"/>
      <c r="DS213" s="4"/>
      <c r="DT213" s="4"/>
    </row>
    <row r="214" spans="1:124" s="21" customFormat="1" hidden="1">
      <c r="A214" s="58"/>
      <c r="B214" s="31"/>
      <c r="J214" s="8"/>
      <c r="L214" s="141"/>
      <c r="M214" s="9"/>
      <c r="N214" s="10"/>
      <c r="O214" s="9"/>
      <c r="P214" s="10"/>
      <c r="Q214" s="9"/>
      <c r="R214" s="10"/>
      <c r="S214" s="9"/>
      <c r="T214" s="10"/>
      <c r="U214" s="9"/>
      <c r="V214" s="10"/>
      <c r="W214" s="9"/>
      <c r="X214" s="10"/>
      <c r="Y214" s="9"/>
      <c r="Z214" s="10"/>
      <c r="AA214" s="9"/>
      <c r="AB214" s="10"/>
      <c r="AC214" s="9"/>
      <c r="AD214" s="10"/>
      <c r="AE214" s="9"/>
      <c r="AF214" s="10"/>
      <c r="AG214" s="9"/>
      <c r="AH214" s="10"/>
      <c r="AI214" s="4"/>
      <c r="AJ214" s="10"/>
      <c r="AK214" s="4"/>
      <c r="AL214" s="10"/>
      <c r="AM214" s="4"/>
      <c r="AN214" s="10"/>
      <c r="AO214" s="9"/>
      <c r="AP214" s="10"/>
      <c r="AQ214" s="9"/>
      <c r="AR214" s="10"/>
      <c r="AS214" s="9"/>
      <c r="AT214" s="10"/>
      <c r="AU214" s="10"/>
      <c r="AV214" s="10"/>
      <c r="AW214" s="10"/>
      <c r="AX214" s="10"/>
      <c r="AY214" s="10"/>
      <c r="AZ214" s="10"/>
      <c r="BA214" s="10"/>
      <c r="BB214" s="10"/>
      <c r="BC214" s="10"/>
      <c r="BD214" s="10"/>
      <c r="BE214" s="4"/>
      <c r="BF214" s="10"/>
      <c r="BG214" s="4"/>
      <c r="BH214" s="10"/>
      <c r="BI214" s="4"/>
      <c r="BJ214" s="10"/>
      <c r="BK214" s="4"/>
      <c r="BL214" s="10"/>
      <c r="BM214" s="4"/>
      <c r="BN214" s="10"/>
      <c r="BO214" s="4"/>
      <c r="BP214" s="10"/>
      <c r="BQ214" s="4"/>
      <c r="BR214" s="10"/>
      <c r="BS214" s="9"/>
      <c r="BT214" s="10"/>
      <c r="BU214" s="9"/>
      <c r="BV214" s="10"/>
      <c r="BW214" s="9"/>
      <c r="BX214" s="4"/>
      <c r="BY214" s="4"/>
      <c r="BZ214" s="4"/>
      <c r="CA214" s="4"/>
      <c r="CB214" s="4"/>
      <c r="CC214" s="4"/>
      <c r="CD214" s="4"/>
      <c r="CE214" s="4"/>
      <c r="CF214" s="4"/>
      <c r="CG214" s="4"/>
      <c r="CH214" s="4"/>
      <c r="CI214" s="4"/>
      <c r="CJ214" s="4"/>
      <c r="CK214" s="4"/>
      <c r="CL214" s="4"/>
      <c r="CM214" s="4"/>
      <c r="CN214" s="4"/>
      <c r="CO214" s="4"/>
      <c r="CP214" s="4"/>
      <c r="CQ214" s="4"/>
      <c r="CR214" s="4"/>
      <c r="CS214" s="4"/>
      <c r="CT214" s="4"/>
      <c r="CU214" s="4"/>
      <c r="CV214" s="4"/>
      <c r="CW214" s="4"/>
      <c r="CX214" s="4"/>
      <c r="CY214" s="4"/>
      <c r="CZ214" s="4"/>
      <c r="DA214" s="4"/>
      <c r="DB214" s="4"/>
      <c r="DC214" s="4"/>
      <c r="DD214" s="4"/>
      <c r="DE214" s="4"/>
      <c r="DF214" s="4"/>
      <c r="DG214" s="4"/>
      <c r="DH214" s="4"/>
      <c r="DI214" s="4"/>
      <c r="DJ214" s="4"/>
      <c r="DK214" s="4"/>
      <c r="DL214" s="4"/>
      <c r="DM214" s="4"/>
      <c r="DN214" s="4"/>
      <c r="DO214" s="4"/>
      <c r="DP214" s="4"/>
      <c r="DQ214" s="4"/>
      <c r="DR214" s="4"/>
      <c r="DS214" s="4"/>
      <c r="DT214" s="4"/>
    </row>
    <row r="215" spans="1:124" s="21" customFormat="1" hidden="1">
      <c r="A215" s="58"/>
      <c r="B215" s="31"/>
      <c r="J215" s="8"/>
      <c r="L215" s="141"/>
      <c r="M215" s="9"/>
      <c r="N215" s="10"/>
      <c r="O215" s="9"/>
      <c r="P215" s="10"/>
      <c r="Q215" s="9"/>
      <c r="R215" s="10"/>
      <c r="S215" s="9"/>
      <c r="T215" s="10"/>
      <c r="U215" s="9"/>
      <c r="V215" s="10"/>
      <c r="W215" s="9"/>
      <c r="X215" s="10"/>
      <c r="Y215" s="9"/>
      <c r="Z215" s="10"/>
      <c r="AA215" s="9"/>
      <c r="AB215" s="10"/>
      <c r="AC215" s="9"/>
      <c r="AD215" s="10"/>
      <c r="AE215" s="9"/>
      <c r="AF215" s="10"/>
      <c r="AG215" s="9"/>
      <c r="AH215" s="10"/>
      <c r="AI215" s="4"/>
      <c r="AJ215" s="10"/>
      <c r="AK215" s="4"/>
      <c r="AL215" s="10"/>
      <c r="AM215" s="4"/>
      <c r="AN215" s="10"/>
      <c r="AO215" s="9"/>
      <c r="AP215" s="10"/>
      <c r="AQ215" s="9"/>
      <c r="AR215" s="10"/>
      <c r="AS215" s="9"/>
      <c r="AT215" s="10"/>
      <c r="AU215" s="10"/>
      <c r="AV215" s="10"/>
      <c r="AW215" s="10"/>
      <c r="AX215" s="10"/>
      <c r="AY215" s="10"/>
      <c r="AZ215" s="10"/>
      <c r="BA215" s="10"/>
      <c r="BB215" s="10"/>
      <c r="BC215" s="10"/>
      <c r="BD215" s="10"/>
      <c r="BE215" s="4"/>
      <c r="BF215" s="10"/>
      <c r="BG215" s="4"/>
      <c r="BH215" s="10"/>
      <c r="BI215" s="4"/>
      <c r="BJ215" s="10"/>
      <c r="BK215" s="4"/>
      <c r="BL215" s="10"/>
      <c r="BM215" s="4"/>
      <c r="BN215" s="10"/>
      <c r="BO215" s="4"/>
      <c r="BP215" s="10"/>
      <c r="BQ215" s="4"/>
      <c r="BR215" s="10"/>
      <c r="BS215" s="9"/>
      <c r="BT215" s="10"/>
      <c r="BU215" s="9"/>
      <c r="BV215" s="10"/>
      <c r="BW215" s="9"/>
      <c r="BX215" s="4"/>
      <c r="BY215" s="4"/>
      <c r="BZ215" s="4"/>
      <c r="CA215" s="4"/>
      <c r="CB215" s="4"/>
      <c r="CC215" s="4"/>
      <c r="CD215" s="4"/>
      <c r="CE215" s="4"/>
      <c r="CF215" s="4"/>
      <c r="CG215" s="4"/>
      <c r="CH215" s="4"/>
      <c r="CI215" s="4"/>
      <c r="CJ215" s="4"/>
      <c r="CK215" s="4"/>
      <c r="CL215" s="4"/>
      <c r="CM215" s="4"/>
      <c r="CN215" s="4"/>
      <c r="CO215" s="4"/>
      <c r="CP215" s="4"/>
      <c r="CQ215" s="4"/>
      <c r="CR215" s="4"/>
      <c r="CS215" s="4"/>
      <c r="CT215" s="4"/>
      <c r="CU215" s="4"/>
      <c r="CV215" s="4"/>
      <c r="CW215" s="4"/>
      <c r="CX215" s="4"/>
      <c r="CY215" s="4"/>
      <c r="CZ215" s="4"/>
      <c r="DA215" s="4"/>
      <c r="DB215" s="4"/>
      <c r="DC215" s="4"/>
      <c r="DD215" s="4"/>
      <c r="DE215" s="4"/>
      <c r="DF215" s="4"/>
      <c r="DG215" s="4"/>
      <c r="DH215" s="4"/>
      <c r="DI215" s="4"/>
      <c r="DJ215" s="4"/>
      <c r="DK215" s="4"/>
      <c r="DL215" s="4"/>
      <c r="DM215" s="4"/>
      <c r="DN215" s="4"/>
      <c r="DO215" s="4"/>
      <c r="DP215" s="4"/>
      <c r="DQ215" s="4"/>
      <c r="DR215" s="4"/>
      <c r="DS215" s="4"/>
      <c r="DT215" s="4"/>
    </row>
    <row r="216" spans="1:124" s="21" customFormat="1">
      <c r="A216" s="58"/>
      <c r="B216" s="31"/>
      <c r="J216" s="8"/>
      <c r="L216" s="141"/>
      <c r="M216" s="9"/>
      <c r="N216" s="10"/>
      <c r="O216" s="9"/>
      <c r="P216" s="10"/>
      <c r="Q216" s="9"/>
      <c r="R216" s="10"/>
      <c r="S216" s="9"/>
      <c r="T216" s="10"/>
      <c r="U216" s="9"/>
      <c r="V216" s="10"/>
      <c r="W216" s="9"/>
      <c r="X216" s="10"/>
      <c r="Y216" s="9"/>
      <c r="Z216" s="10"/>
      <c r="AA216" s="9"/>
      <c r="AB216" s="10"/>
      <c r="AC216" s="9"/>
      <c r="AD216" s="10"/>
      <c r="AE216" s="9"/>
      <c r="AF216" s="10"/>
      <c r="AG216" s="9"/>
      <c r="AH216" s="10"/>
      <c r="AI216" s="4"/>
      <c r="AJ216" s="10"/>
      <c r="AK216" s="4"/>
      <c r="AL216" s="10"/>
      <c r="AM216" s="4"/>
      <c r="AN216" s="10"/>
      <c r="AO216" s="9"/>
      <c r="AP216" s="10"/>
      <c r="AQ216" s="9"/>
      <c r="AR216" s="10"/>
      <c r="AS216" s="9"/>
      <c r="AT216" s="10"/>
      <c r="AU216" s="10"/>
      <c r="AV216" s="10"/>
      <c r="AW216" s="10"/>
      <c r="AX216" s="10"/>
      <c r="AY216" s="10"/>
      <c r="AZ216" s="10"/>
      <c r="BA216" s="10"/>
      <c r="BB216" s="10"/>
      <c r="BC216" s="10"/>
      <c r="BD216" s="10"/>
      <c r="BE216" s="4"/>
      <c r="BF216" s="10"/>
      <c r="BG216" s="4"/>
      <c r="BH216" s="10"/>
      <c r="BI216" s="4"/>
      <c r="BJ216" s="10"/>
      <c r="BK216" s="4"/>
      <c r="BL216" s="10"/>
      <c r="BM216" s="4"/>
      <c r="BN216" s="10"/>
      <c r="BO216" s="4"/>
      <c r="BP216" s="10"/>
      <c r="BQ216" s="4"/>
      <c r="BR216" s="10"/>
      <c r="BS216" s="9"/>
      <c r="BT216" s="10"/>
      <c r="BU216" s="9"/>
      <c r="BV216" s="10"/>
      <c r="BW216" s="9"/>
      <c r="BX216" s="4"/>
      <c r="BY216" s="4"/>
      <c r="BZ216" s="4"/>
      <c r="CA216" s="4"/>
      <c r="CB216" s="4"/>
      <c r="CC216" s="4"/>
      <c r="CD216" s="4"/>
      <c r="CE216" s="4"/>
      <c r="CF216" s="4"/>
      <c r="CG216" s="4"/>
      <c r="CH216" s="4"/>
      <c r="CI216" s="4"/>
      <c r="CJ216" s="4"/>
      <c r="CK216" s="4"/>
      <c r="CL216" s="4"/>
      <c r="CM216" s="4"/>
      <c r="CN216" s="4"/>
      <c r="CO216" s="4"/>
      <c r="CP216" s="4"/>
      <c r="CQ216" s="4"/>
      <c r="CR216" s="4"/>
      <c r="CS216" s="4"/>
      <c r="CT216" s="4"/>
      <c r="CU216" s="4"/>
      <c r="CV216" s="4"/>
      <c r="CW216" s="4"/>
      <c r="CX216" s="4"/>
      <c r="CY216" s="4"/>
      <c r="CZ216" s="4"/>
      <c r="DA216" s="4"/>
      <c r="DB216" s="4"/>
      <c r="DC216" s="4"/>
      <c r="DD216" s="4"/>
      <c r="DE216" s="4"/>
      <c r="DF216" s="4"/>
      <c r="DG216" s="4"/>
      <c r="DH216" s="4"/>
      <c r="DI216" s="4"/>
      <c r="DJ216" s="4"/>
      <c r="DK216" s="4"/>
      <c r="DL216" s="4"/>
      <c r="DM216" s="4"/>
      <c r="DN216" s="4"/>
      <c r="DO216" s="4"/>
      <c r="DP216" s="4"/>
      <c r="DQ216" s="4"/>
      <c r="DR216" s="4"/>
      <c r="DS216" s="4"/>
      <c r="DT216" s="4"/>
    </row>
    <row r="217" spans="1:124" s="21" customFormat="1" hidden="1">
      <c r="A217" s="58"/>
      <c r="B217" s="31"/>
      <c r="J217" s="8"/>
      <c r="L217" s="141"/>
      <c r="M217" s="9"/>
      <c r="N217" s="10"/>
      <c r="O217" s="9"/>
      <c r="P217" s="10"/>
      <c r="Q217" s="9"/>
      <c r="R217" s="10"/>
      <c r="S217" s="9"/>
      <c r="T217" s="10"/>
      <c r="U217" s="9"/>
      <c r="V217" s="10"/>
      <c r="W217" s="9"/>
      <c r="X217" s="10"/>
      <c r="Y217" s="9"/>
      <c r="Z217" s="10"/>
      <c r="AA217" s="9"/>
      <c r="AB217" s="10"/>
      <c r="AC217" s="9"/>
      <c r="AD217" s="10"/>
      <c r="AE217" s="9"/>
      <c r="AF217" s="10"/>
      <c r="AG217" s="9"/>
      <c r="AH217" s="10"/>
      <c r="AI217" s="4"/>
      <c r="AJ217" s="10"/>
      <c r="AK217" s="4"/>
      <c r="AL217" s="10"/>
      <c r="AM217" s="4"/>
      <c r="AN217" s="10"/>
      <c r="AO217" s="9"/>
      <c r="AP217" s="10"/>
      <c r="AQ217" s="9"/>
      <c r="AR217" s="10"/>
      <c r="AS217" s="9"/>
      <c r="AT217" s="10"/>
      <c r="AU217" s="10"/>
      <c r="AV217" s="10"/>
      <c r="AW217" s="10"/>
      <c r="AX217" s="10"/>
      <c r="AY217" s="10"/>
      <c r="AZ217" s="10"/>
      <c r="BA217" s="10"/>
      <c r="BB217" s="10"/>
      <c r="BC217" s="10"/>
      <c r="BD217" s="10"/>
      <c r="BE217" s="4"/>
      <c r="BF217" s="10"/>
      <c r="BG217" s="4"/>
      <c r="BH217" s="10"/>
      <c r="BI217" s="4"/>
      <c r="BJ217" s="10"/>
      <c r="BK217" s="4"/>
      <c r="BL217" s="10"/>
      <c r="BM217" s="4"/>
      <c r="BN217" s="22">
        <v>166466044</v>
      </c>
      <c r="BO217" s="4"/>
      <c r="BP217" s="10"/>
      <c r="BQ217" s="4"/>
      <c r="BR217" s="10"/>
      <c r="BS217" s="9"/>
      <c r="BT217" s="10"/>
      <c r="BU217" s="9"/>
      <c r="BV217" s="10"/>
      <c r="BW217" s="9"/>
      <c r="BX217" s="4"/>
      <c r="BY217" s="4"/>
      <c r="BZ217" s="4"/>
      <c r="CA217" s="4"/>
      <c r="CB217" s="4"/>
      <c r="CC217" s="4"/>
      <c r="CD217" s="4"/>
      <c r="CE217" s="4"/>
      <c r="CF217" s="4"/>
      <c r="CG217" s="4"/>
      <c r="CH217" s="4"/>
      <c r="CI217" s="4"/>
      <c r="CJ217" s="4"/>
      <c r="CK217" s="4"/>
      <c r="CL217" s="4"/>
      <c r="CM217" s="4"/>
      <c r="CN217" s="4"/>
      <c r="CO217" s="4"/>
      <c r="CP217" s="4"/>
      <c r="CQ217" s="4"/>
      <c r="CR217" s="4"/>
      <c r="CS217" s="4"/>
      <c r="CT217" s="4"/>
      <c r="CU217" s="4"/>
      <c r="CV217" s="4"/>
      <c r="CW217" s="4"/>
      <c r="CX217" s="4"/>
      <c r="CY217" s="4"/>
      <c r="CZ217" s="4"/>
      <c r="DA217" s="4"/>
      <c r="DB217" s="4"/>
      <c r="DC217" s="4"/>
      <c r="DD217" s="4"/>
      <c r="DE217" s="4"/>
      <c r="DF217" s="4"/>
      <c r="DG217" s="4"/>
      <c r="DH217" s="4"/>
      <c r="DI217" s="4"/>
      <c r="DJ217" s="4"/>
      <c r="DK217" s="4"/>
      <c r="DL217" s="4"/>
      <c r="DM217" s="4"/>
      <c r="DN217" s="4"/>
      <c r="DO217" s="4"/>
      <c r="DP217" s="4"/>
      <c r="DQ217" s="4"/>
      <c r="DR217" s="4"/>
      <c r="DS217" s="4"/>
      <c r="DT217" s="4"/>
    </row>
    <row r="218" spans="1:124" s="21" customFormat="1" hidden="1">
      <c r="A218" s="58"/>
      <c r="B218" s="31"/>
      <c r="J218" s="8"/>
      <c r="L218" s="141"/>
      <c r="M218" s="9"/>
      <c r="N218" s="10"/>
      <c r="O218" s="9"/>
      <c r="P218" s="10"/>
      <c r="Q218" s="9"/>
      <c r="R218" s="10"/>
      <c r="S218" s="9"/>
      <c r="T218" s="10"/>
      <c r="U218" s="9"/>
      <c r="V218" s="10"/>
      <c r="W218" s="9"/>
      <c r="X218" s="10"/>
      <c r="Y218" s="9"/>
      <c r="Z218" s="10"/>
      <c r="AA218" s="9"/>
      <c r="AB218" s="10"/>
      <c r="AC218" s="9"/>
      <c r="AD218" s="10"/>
      <c r="AE218" s="9"/>
      <c r="AF218" s="10"/>
      <c r="AG218" s="9"/>
      <c r="AH218" s="10"/>
      <c r="AI218" s="4"/>
      <c r="AJ218" s="10"/>
      <c r="AK218" s="4"/>
      <c r="AL218" s="10"/>
      <c r="AM218" s="4"/>
      <c r="AN218" s="10"/>
      <c r="AO218" s="9"/>
      <c r="AP218" s="10"/>
      <c r="AQ218" s="9"/>
      <c r="AR218" s="10"/>
      <c r="AS218" s="9"/>
      <c r="AT218" s="10"/>
      <c r="AU218" s="10"/>
      <c r="AV218" s="10"/>
      <c r="AW218" s="10"/>
      <c r="AX218" s="10"/>
      <c r="AY218" s="10"/>
      <c r="AZ218" s="10"/>
      <c r="BA218" s="10"/>
      <c r="BB218" s="10"/>
      <c r="BC218" s="10"/>
      <c r="BD218" s="10"/>
      <c r="BE218" s="4"/>
      <c r="BF218" s="10"/>
      <c r="BG218" s="4"/>
      <c r="BH218" s="10"/>
      <c r="BI218" s="4"/>
      <c r="BJ218" s="10"/>
      <c r="BK218" s="4"/>
      <c r="BL218" s="10"/>
      <c r="BM218" s="4"/>
      <c r="BN218" s="22">
        <f>93413104.03</f>
        <v>93413104.030000001</v>
      </c>
      <c r="BO218" s="4"/>
      <c r="BP218" s="10"/>
      <c r="BQ218" s="4"/>
      <c r="BR218" s="10"/>
      <c r="BS218" s="9"/>
      <c r="BT218" s="10"/>
      <c r="BU218" s="9"/>
      <c r="BV218" s="10"/>
      <c r="BW218" s="9"/>
      <c r="BX218" s="4"/>
      <c r="BY218" s="4"/>
      <c r="BZ218" s="4"/>
      <c r="CA218" s="4"/>
      <c r="CB218" s="4"/>
      <c r="CC218" s="4"/>
      <c r="CD218" s="4"/>
      <c r="CE218" s="4"/>
      <c r="CF218" s="4"/>
      <c r="CG218" s="4"/>
      <c r="CH218" s="4"/>
      <c r="CI218" s="4"/>
      <c r="CJ218" s="4"/>
      <c r="CK218" s="4"/>
      <c r="CL218" s="4"/>
      <c r="CM218" s="4"/>
      <c r="CN218" s="4"/>
      <c r="CO218" s="4"/>
      <c r="CP218" s="4"/>
      <c r="CQ218" s="4"/>
      <c r="CR218" s="4"/>
      <c r="CS218" s="4"/>
      <c r="CT218" s="4"/>
      <c r="CU218" s="4"/>
      <c r="CV218" s="4"/>
      <c r="CW218" s="4"/>
      <c r="CX218" s="4"/>
      <c r="CY218" s="4"/>
      <c r="CZ218" s="4"/>
      <c r="DA218" s="4"/>
      <c r="DB218" s="4"/>
      <c r="DC218" s="4"/>
      <c r="DD218" s="4"/>
      <c r="DE218" s="4"/>
      <c r="DF218" s="4"/>
      <c r="DG218" s="4"/>
      <c r="DH218" s="4"/>
      <c r="DI218" s="4"/>
      <c r="DJ218" s="4"/>
      <c r="DK218" s="4"/>
      <c r="DL218" s="4"/>
      <c r="DM218" s="4"/>
      <c r="DN218" s="4"/>
      <c r="DO218" s="4"/>
      <c r="DP218" s="4"/>
      <c r="DQ218" s="4"/>
      <c r="DR218" s="4"/>
      <c r="DS218" s="4"/>
      <c r="DT218" s="4"/>
    </row>
    <row r="219" spans="1:124" s="21" customFormat="1" hidden="1">
      <c r="A219" s="58"/>
      <c r="B219" s="31"/>
      <c r="J219" s="8"/>
      <c r="L219" s="141"/>
      <c r="M219" s="9"/>
      <c r="N219" s="10"/>
      <c r="O219" s="9"/>
      <c r="P219" s="10"/>
      <c r="Q219" s="9"/>
      <c r="R219" s="10"/>
      <c r="S219" s="9"/>
      <c r="T219" s="10"/>
      <c r="U219" s="9"/>
      <c r="V219" s="10"/>
      <c r="W219" s="9"/>
      <c r="X219" s="10"/>
      <c r="Y219" s="9"/>
      <c r="Z219" s="10"/>
      <c r="AA219" s="9"/>
      <c r="AB219" s="10"/>
      <c r="AC219" s="9"/>
      <c r="AD219" s="10"/>
      <c r="AE219" s="9"/>
      <c r="AF219" s="10"/>
      <c r="AG219" s="9"/>
      <c r="AH219" s="10"/>
      <c r="AI219" s="4"/>
      <c r="AJ219" s="10"/>
      <c r="AK219" s="4"/>
      <c r="AL219" s="10"/>
      <c r="AM219" s="4"/>
      <c r="AN219" s="10"/>
      <c r="AO219" s="9"/>
      <c r="AP219" s="10"/>
      <c r="AQ219" s="9"/>
      <c r="AR219" s="10"/>
      <c r="AS219" s="9"/>
      <c r="AT219" s="10"/>
      <c r="AU219" s="10"/>
      <c r="AV219" s="10"/>
      <c r="AW219" s="10"/>
      <c r="AX219" s="10"/>
      <c r="AY219" s="10"/>
      <c r="AZ219" s="10"/>
      <c r="BA219" s="10"/>
      <c r="BB219" s="10"/>
      <c r="BC219" s="10"/>
      <c r="BD219" s="10"/>
      <c r="BE219" s="4"/>
      <c r="BF219" s="10"/>
      <c r="BG219" s="4"/>
      <c r="BH219" s="10"/>
      <c r="BI219" s="4"/>
      <c r="BJ219" s="10"/>
      <c r="BK219" s="4"/>
      <c r="BL219" s="10"/>
      <c r="BM219" s="4"/>
      <c r="BN219" s="22">
        <v>755906.13</v>
      </c>
      <c r="BO219" s="4"/>
      <c r="BP219" s="10"/>
      <c r="BQ219" s="4"/>
      <c r="BR219" s="10"/>
      <c r="BS219" s="9"/>
      <c r="BT219" s="10"/>
      <c r="BU219" s="9"/>
      <c r="BV219" s="10"/>
      <c r="BW219" s="9"/>
      <c r="BX219" s="4"/>
      <c r="BY219" s="4"/>
      <c r="BZ219" s="4"/>
      <c r="CA219" s="4"/>
      <c r="CB219" s="4"/>
      <c r="CC219" s="4"/>
      <c r="CD219" s="4"/>
      <c r="CE219" s="4"/>
      <c r="CF219" s="4"/>
      <c r="CG219" s="4"/>
      <c r="CH219" s="4"/>
      <c r="CI219" s="4"/>
      <c r="CJ219" s="4"/>
      <c r="CK219" s="4"/>
      <c r="CL219" s="4"/>
      <c r="CM219" s="4"/>
      <c r="CN219" s="4"/>
      <c r="CO219" s="4"/>
      <c r="CP219" s="4"/>
      <c r="CQ219" s="4"/>
      <c r="CR219" s="4"/>
      <c r="CS219" s="4"/>
      <c r="CT219" s="4"/>
      <c r="CU219" s="4"/>
      <c r="CV219" s="4"/>
      <c r="CW219" s="4"/>
      <c r="CX219" s="4"/>
      <c r="CY219" s="4"/>
      <c r="CZ219" s="4"/>
      <c r="DA219" s="4"/>
      <c r="DB219" s="4"/>
      <c r="DC219" s="4"/>
      <c r="DD219" s="4"/>
      <c r="DE219" s="4"/>
      <c r="DF219" s="4"/>
      <c r="DG219" s="4"/>
      <c r="DH219" s="4"/>
      <c r="DI219" s="4"/>
      <c r="DJ219" s="4"/>
      <c r="DK219" s="4"/>
      <c r="DL219" s="4"/>
      <c r="DM219" s="4"/>
      <c r="DN219" s="4"/>
      <c r="DO219" s="4"/>
      <c r="DP219" s="4"/>
      <c r="DQ219" s="4"/>
      <c r="DR219" s="4"/>
      <c r="DS219" s="4"/>
      <c r="DT219" s="4"/>
    </row>
    <row r="220" spans="1:124" s="21" customFormat="1" hidden="1">
      <c r="A220" s="58"/>
      <c r="B220" s="31"/>
      <c r="J220" s="8"/>
      <c r="L220" s="141"/>
      <c r="M220" s="9"/>
      <c r="N220" s="10"/>
      <c r="O220" s="9"/>
      <c r="P220" s="10"/>
      <c r="Q220" s="9"/>
      <c r="R220" s="10"/>
      <c r="S220" s="9"/>
      <c r="T220" s="10"/>
      <c r="U220" s="9"/>
      <c r="V220" s="10"/>
      <c r="W220" s="9"/>
      <c r="X220" s="10"/>
      <c r="Y220" s="9"/>
      <c r="Z220" s="10"/>
      <c r="AA220" s="9"/>
      <c r="AB220" s="10"/>
      <c r="AC220" s="9"/>
      <c r="AD220" s="10"/>
      <c r="AE220" s="9"/>
      <c r="AF220" s="10"/>
      <c r="AG220" s="9"/>
      <c r="AH220" s="10"/>
      <c r="AI220" s="4"/>
      <c r="AJ220" s="10"/>
      <c r="AK220" s="4"/>
      <c r="AL220" s="10"/>
      <c r="AM220" s="4"/>
      <c r="AN220" s="10"/>
      <c r="AO220" s="9"/>
      <c r="AP220" s="10"/>
      <c r="AQ220" s="9"/>
      <c r="AR220" s="10"/>
      <c r="AS220" s="9"/>
      <c r="AT220" s="10"/>
      <c r="AU220" s="10"/>
      <c r="AV220" s="10"/>
      <c r="AW220" s="10"/>
      <c r="AX220" s="10"/>
      <c r="AY220" s="10"/>
      <c r="AZ220" s="10"/>
      <c r="BA220" s="10"/>
      <c r="BB220" s="10"/>
      <c r="BC220" s="10"/>
      <c r="BD220" s="10"/>
      <c r="BE220" s="4"/>
      <c r="BF220" s="10"/>
      <c r="BG220" s="4"/>
      <c r="BH220" s="10"/>
      <c r="BI220" s="4"/>
      <c r="BJ220" s="10"/>
      <c r="BK220" s="4"/>
      <c r="BL220" s="10"/>
      <c r="BM220" s="4"/>
      <c r="BN220" s="22">
        <v>-6077</v>
      </c>
      <c r="BO220" s="4"/>
      <c r="BP220" s="10"/>
      <c r="BQ220" s="4"/>
      <c r="BR220" s="10"/>
      <c r="BS220" s="9"/>
      <c r="BT220" s="10"/>
      <c r="BU220" s="9"/>
      <c r="BV220" s="10"/>
      <c r="BW220" s="9"/>
      <c r="BX220" s="4"/>
      <c r="BY220" s="4"/>
      <c r="BZ220" s="4"/>
      <c r="CA220" s="4"/>
      <c r="CB220" s="4"/>
      <c r="CC220" s="4"/>
      <c r="CD220" s="4"/>
      <c r="CE220" s="4"/>
      <c r="CF220" s="4"/>
      <c r="CG220" s="4"/>
      <c r="CH220" s="4"/>
      <c r="CI220" s="4"/>
      <c r="CJ220" s="4"/>
      <c r="CK220" s="4"/>
      <c r="CL220" s="4"/>
      <c r="CM220" s="4"/>
      <c r="CN220" s="4"/>
      <c r="CO220" s="4"/>
      <c r="CP220" s="4"/>
      <c r="CQ220" s="4"/>
      <c r="CR220" s="4"/>
      <c r="CS220" s="4"/>
      <c r="CT220" s="4"/>
      <c r="CU220" s="4"/>
      <c r="CV220" s="4"/>
      <c r="CW220" s="4"/>
      <c r="CX220" s="4"/>
      <c r="CY220" s="4"/>
      <c r="CZ220" s="4"/>
      <c r="DA220" s="4"/>
      <c r="DB220" s="4"/>
      <c r="DC220" s="4"/>
      <c r="DD220" s="4"/>
      <c r="DE220" s="4"/>
      <c r="DF220" s="4"/>
      <c r="DG220" s="4"/>
      <c r="DH220" s="4"/>
      <c r="DI220" s="4"/>
      <c r="DJ220" s="4"/>
      <c r="DK220" s="4"/>
      <c r="DL220" s="4"/>
      <c r="DM220" s="4"/>
      <c r="DN220" s="4"/>
      <c r="DO220" s="4"/>
      <c r="DP220" s="4"/>
      <c r="DQ220" s="4"/>
      <c r="DR220" s="4"/>
      <c r="DS220" s="4"/>
      <c r="DT220" s="4"/>
    </row>
    <row r="221" spans="1:124" s="21" customFormat="1" hidden="1">
      <c r="A221" s="58"/>
      <c r="B221" s="31"/>
      <c r="J221" s="8"/>
      <c r="L221" s="141"/>
      <c r="M221" s="9"/>
      <c r="N221" s="10"/>
      <c r="O221" s="9"/>
      <c r="P221" s="10"/>
      <c r="Q221" s="9"/>
      <c r="R221" s="10"/>
      <c r="S221" s="9"/>
      <c r="T221" s="10"/>
      <c r="U221" s="9"/>
      <c r="V221" s="10"/>
      <c r="W221" s="9"/>
      <c r="X221" s="10"/>
      <c r="Y221" s="9"/>
      <c r="Z221" s="10"/>
      <c r="AA221" s="9"/>
      <c r="AB221" s="10"/>
      <c r="AC221" s="9"/>
      <c r="AD221" s="10"/>
      <c r="AE221" s="9"/>
      <c r="AF221" s="10"/>
      <c r="AG221" s="9"/>
      <c r="AH221" s="10"/>
      <c r="AI221" s="4"/>
      <c r="AJ221" s="10"/>
      <c r="AK221" s="4"/>
      <c r="AL221" s="10"/>
      <c r="AM221" s="4"/>
      <c r="AN221" s="10"/>
      <c r="AO221" s="9"/>
      <c r="AP221" s="10"/>
      <c r="AQ221" s="9"/>
      <c r="AR221" s="10"/>
      <c r="AS221" s="9"/>
      <c r="AT221" s="10"/>
      <c r="AU221" s="10"/>
      <c r="AV221" s="10"/>
      <c r="AW221" s="10"/>
      <c r="AX221" s="10"/>
      <c r="AY221" s="10"/>
      <c r="AZ221" s="10"/>
      <c r="BA221" s="10"/>
      <c r="BB221" s="10"/>
      <c r="BC221" s="10"/>
      <c r="BD221" s="10"/>
      <c r="BE221" s="4"/>
      <c r="BF221" s="10"/>
      <c r="BG221" s="4"/>
      <c r="BH221" s="10"/>
      <c r="BI221" s="4"/>
      <c r="BJ221" s="10"/>
      <c r="BK221" s="4"/>
      <c r="BL221" s="10"/>
      <c r="BM221" s="4"/>
      <c r="BN221" s="22">
        <v>80000</v>
      </c>
      <c r="BO221" s="4"/>
      <c r="BP221" s="10"/>
      <c r="BQ221" s="4"/>
      <c r="BR221" s="10"/>
      <c r="BS221" s="9"/>
      <c r="BT221" s="10"/>
      <c r="BU221" s="9"/>
      <c r="BV221" s="10"/>
      <c r="BW221" s="9"/>
      <c r="BX221" s="4"/>
      <c r="BY221" s="4"/>
      <c r="BZ221" s="4"/>
      <c r="CA221" s="4"/>
      <c r="CB221" s="4"/>
      <c r="CC221" s="4"/>
      <c r="CD221" s="4"/>
      <c r="CE221" s="4"/>
      <c r="CF221" s="4"/>
      <c r="CG221" s="4"/>
      <c r="CH221" s="4"/>
      <c r="CI221" s="4"/>
      <c r="CJ221" s="4"/>
      <c r="CK221" s="4"/>
      <c r="CL221" s="4"/>
      <c r="CM221" s="4"/>
      <c r="CN221" s="4"/>
      <c r="CO221" s="4"/>
      <c r="CP221" s="4"/>
      <c r="CQ221" s="4"/>
      <c r="CR221" s="4"/>
      <c r="CS221" s="4"/>
      <c r="CT221" s="4"/>
      <c r="CU221" s="4"/>
      <c r="CV221" s="4"/>
      <c r="CW221" s="4"/>
      <c r="CX221" s="4"/>
      <c r="CY221" s="4"/>
      <c r="CZ221" s="4"/>
      <c r="DA221" s="4"/>
      <c r="DB221" s="4"/>
      <c r="DC221" s="4"/>
      <c r="DD221" s="4"/>
      <c r="DE221" s="4"/>
      <c r="DF221" s="4"/>
      <c r="DG221" s="4"/>
      <c r="DH221" s="4"/>
      <c r="DI221" s="4"/>
      <c r="DJ221" s="4"/>
      <c r="DK221" s="4"/>
      <c r="DL221" s="4"/>
      <c r="DM221" s="4"/>
      <c r="DN221" s="4"/>
      <c r="DO221" s="4"/>
      <c r="DP221" s="4"/>
      <c r="DQ221" s="4"/>
      <c r="DR221" s="4"/>
      <c r="DS221" s="4"/>
      <c r="DT221" s="4"/>
    </row>
    <row r="222" spans="1:124" s="21" customFormat="1" hidden="1">
      <c r="A222" s="58"/>
      <c r="B222" s="31"/>
      <c r="J222" s="8"/>
      <c r="L222" s="141"/>
      <c r="M222" s="9"/>
      <c r="N222" s="10"/>
      <c r="O222" s="9"/>
      <c r="P222" s="10"/>
      <c r="Q222" s="9"/>
      <c r="R222" s="10"/>
      <c r="S222" s="9"/>
      <c r="T222" s="10"/>
      <c r="U222" s="9"/>
      <c r="V222" s="10"/>
      <c r="W222" s="9"/>
      <c r="X222" s="10"/>
      <c r="Y222" s="9"/>
      <c r="Z222" s="10"/>
      <c r="AA222" s="9"/>
      <c r="AB222" s="10"/>
      <c r="AC222" s="9"/>
      <c r="AD222" s="10"/>
      <c r="AE222" s="9"/>
      <c r="AF222" s="10"/>
      <c r="AG222" s="9"/>
      <c r="AH222" s="10"/>
      <c r="AI222" s="4"/>
      <c r="AJ222" s="10"/>
      <c r="AK222" s="4"/>
      <c r="AL222" s="10"/>
      <c r="AM222" s="4"/>
      <c r="AN222" s="10"/>
      <c r="AO222" s="9"/>
      <c r="AP222" s="10"/>
      <c r="AQ222" s="9"/>
      <c r="AR222" s="10"/>
      <c r="AS222" s="9"/>
      <c r="AT222" s="10"/>
      <c r="AU222" s="10"/>
      <c r="AV222" s="10"/>
      <c r="AW222" s="10"/>
      <c r="AX222" s="10"/>
      <c r="AY222" s="10"/>
      <c r="AZ222" s="10"/>
      <c r="BA222" s="10"/>
      <c r="BB222" s="10"/>
      <c r="BC222" s="10"/>
      <c r="BD222" s="10"/>
      <c r="BE222" s="4"/>
      <c r="BF222" s="10"/>
      <c r="BG222" s="4"/>
      <c r="BH222" s="10"/>
      <c r="BI222" s="4"/>
      <c r="BJ222" s="10"/>
      <c r="BK222" s="4"/>
      <c r="BL222" s="10"/>
      <c r="BM222" s="4"/>
      <c r="BN222" s="22">
        <v>100</v>
      </c>
      <c r="BO222" s="4"/>
      <c r="BP222" s="10"/>
      <c r="BQ222" s="4"/>
      <c r="BR222" s="10"/>
      <c r="BS222" s="9"/>
      <c r="BT222" s="10"/>
      <c r="BU222" s="9"/>
      <c r="BV222" s="10"/>
      <c r="BW222" s="9"/>
      <c r="BX222" s="4"/>
      <c r="BY222" s="4"/>
      <c r="BZ222" s="4"/>
      <c r="CA222" s="4"/>
      <c r="CB222" s="4"/>
      <c r="CC222" s="4"/>
      <c r="CD222" s="4"/>
      <c r="CE222" s="4"/>
      <c r="CF222" s="4"/>
      <c r="CG222" s="4"/>
      <c r="CH222" s="4"/>
      <c r="CI222" s="4"/>
      <c r="CJ222" s="4"/>
      <c r="CK222" s="4"/>
      <c r="CL222" s="4"/>
      <c r="CM222" s="4"/>
      <c r="CN222" s="4"/>
      <c r="CO222" s="4"/>
      <c r="CP222" s="4"/>
      <c r="CQ222" s="4"/>
      <c r="CR222" s="4"/>
      <c r="CS222" s="4"/>
      <c r="CT222" s="4"/>
      <c r="CU222" s="4"/>
      <c r="CV222" s="4"/>
      <c r="CW222" s="4"/>
      <c r="CX222" s="4"/>
      <c r="CY222" s="4"/>
      <c r="CZ222" s="4"/>
      <c r="DA222" s="4"/>
      <c r="DB222" s="4"/>
      <c r="DC222" s="4"/>
      <c r="DD222" s="4"/>
      <c r="DE222" s="4"/>
      <c r="DF222" s="4"/>
      <c r="DG222" s="4"/>
      <c r="DH222" s="4"/>
      <c r="DI222" s="4"/>
      <c r="DJ222" s="4"/>
      <c r="DK222" s="4"/>
      <c r="DL222" s="4"/>
      <c r="DM222" s="4"/>
      <c r="DN222" s="4"/>
      <c r="DO222" s="4"/>
      <c r="DP222" s="4"/>
      <c r="DQ222" s="4"/>
      <c r="DR222" s="4"/>
      <c r="DS222" s="4"/>
      <c r="DT222" s="4"/>
    </row>
    <row r="223" spans="1:124" s="21" customFormat="1" hidden="1">
      <c r="A223" s="58"/>
      <c r="B223" s="31"/>
      <c r="J223" s="8"/>
      <c r="L223" s="141"/>
      <c r="M223" s="9"/>
      <c r="N223" s="10"/>
      <c r="O223" s="9"/>
      <c r="P223" s="10"/>
      <c r="Q223" s="9"/>
      <c r="R223" s="10"/>
      <c r="S223" s="9"/>
      <c r="T223" s="10"/>
      <c r="U223" s="9"/>
      <c r="V223" s="10"/>
      <c r="W223" s="9"/>
      <c r="X223" s="10"/>
      <c r="Y223" s="9"/>
      <c r="Z223" s="10"/>
      <c r="AA223" s="9"/>
      <c r="AB223" s="10"/>
      <c r="AC223" s="9"/>
      <c r="AD223" s="10"/>
      <c r="AE223" s="9"/>
      <c r="AF223" s="10"/>
      <c r="AG223" s="9"/>
      <c r="AH223" s="10"/>
      <c r="AI223" s="4"/>
      <c r="AJ223" s="10"/>
      <c r="AK223" s="4"/>
      <c r="AL223" s="10"/>
      <c r="AM223" s="4"/>
      <c r="AN223" s="10"/>
      <c r="AO223" s="9"/>
      <c r="AP223" s="10"/>
      <c r="AQ223" s="9"/>
      <c r="AR223" s="10"/>
      <c r="AS223" s="9"/>
      <c r="AT223" s="10"/>
      <c r="AU223" s="10"/>
      <c r="AV223" s="10"/>
      <c r="AW223" s="10"/>
      <c r="AX223" s="10"/>
      <c r="AY223" s="10"/>
      <c r="AZ223" s="10"/>
      <c r="BA223" s="10"/>
      <c r="BB223" s="10"/>
      <c r="BC223" s="10"/>
      <c r="BD223" s="10"/>
      <c r="BE223" s="4"/>
      <c r="BF223" s="10"/>
      <c r="BG223" s="4"/>
      <c r="BH223" s="10"/>
      <c r="BI223" s="4"/>
      <c r="BJ223" s="10"/>
      <c r="BK223" s="4"/>
      <c r="BL223" s="10"/>
      <c r="BM223" s="4"/>
      <c r="BN223" s="22">
        <v>278090.26</v>
      </c>
      <c r="BO223" s="4"/>
      <c r="BP223" s="10"/>
      <c r="BQ223" s="4"/>
      <c r="BR223" s="10"/>
      <c r="BS223" s="9"/>
      <c r="BT223" s="10"/>
      <c r="BU223" s="9"/>
      <c r="BV223" s="10"/>
      <c r="BW223" s="9"/>
      <c r="BX223" s="4"/>
      <c r="BY223" s="4"/>
      <c r="BZ223" s="4"/>
      <c r="CA223" s="4"/>
      <c r="CB223" s="4"/>
      <c r="CC223" s="4"/>
      <c r="CD223" s="4"/>
      <c r="CE223" s="4"/>
      <c r="CF223" s="4"/>
      <c r="CG223" s="4"/>
      <c r="CH223" s="4"/>
      <c r="CI223" s="4"/>
      <c r="CJ223" s="4"/>
      <c r="CK223" s="4"/>
      <c r="CL223" s="4"/>
      <c r="CM223" s="4"/>
      <c r="CN223" s="4"/>
      <c r="CO223" s="4"/>
      <c r="CP223" s="4"/>
      <c r="CQ223" s="4"/>
      <c r="CR223" s="4"/>
      <c r="CS223" s="4"/>
      <c r="CT223" s="4"/>
      <c r="CU223" s="4"/>
      <c r="CV223" s="4"/>
      <c r="CW223" s="4"/>
      <c r="CX223" s="4"/>
      <c r="CY223" s="4"/>
      <c r="CZ223" s="4"/>
      <c r="DA223" s="4"/>
      <c r="DB223" s="4"/>
      <c r="DC223" s="4"/>
      <c r="DD223" s="4"/>
      <c r="DE223" s="4"/>
      <c r="DF223" s="4"/>
      <c r="DG223" s="4"/>
      <c r="DH223" s="4"/>
      <c r="DI223" s="4"/>
      <c r="DJ223" s="4"/>
      <c r="DK223" s="4"/>
      <c r="DL223" s="4"/>
      <c r="DM223" s="4"/>
      <c r="DN223" s="4"/>
      <c r="DO223" s="4"/>
      <c r="DP223" s="4"/>
      <c r="DQ223" s="4"/>
      <c r="DR223" s="4"/>
      <c r="DS223" s="4"/>
      <c r="DT223" s="4"/>
    </row>
    <row r="224" spans="1:124" s="21" customFormat="1" hidden="1">
      <c r="A224" s="58"/>
      <c r="B224" s="31"/>
      <c r="J224" s="8"/>
      <c r="L224" s="141"/>
      <c r="M224" s="9"/>
      <c r="N224" s="10"/>
      <c r="O224" s="9"/>
      <c r="P224" s="10"/>
      <c r="Q224" s="9"/>
      <c r="R224" s="10"/>
      <c r="S224" s="9"/>
      <c r="T224" s="10"/>
      <c r="U224" s="9"/>
      <c r="V224" s="10"/>
      <c r="W224" s="9"/>
      <c r="X224" s="10"/>
      <c r="Y224" s="9"/>
      <c r="Z224" s="10"/>
      <c r="AA224" s="9"/>
      <c r="AB224" s="10"/>
      <c r="AC224" s="9"/>
      <c r="AD224" s="10"/>
      <c r="AE224" s="9"/>
      <c r="AF224" s="10"/>
      <c r="AG224" s="9"/>
      <c r="AH224" s="10"/>
      <c r="AI224" s="4"/>
      <c r="AJ224" s="10"/>
      <c r="AK224" s="4"/>
      <c r="AL224" s="10"/>
      <c r="AM224" s="4"/>
      <c r="AN224" s="10"/>
      <c r="AO224" s="9"/>
      <c r="AP224" s="10"/>
      <c r="AQ224" s="9"/>
      <c r="AR224" s="10"/>
      <c r="AS224" s="9"/>
      <c r="AT224" s="10"/>
      <c r="AU224" s="10"/>
      <c r="AV224" s="10"/>
      <c r="AW224" s="10"/>
      <c r="AX224" s="10"/>
      <c r="AY224" s="10"/>
      <c r="AZ224" s="10"/>
      <c r="BA224" s="10"/>
      <c r="BB224" s="10"/>
      <c r="BC224" s="10"/>
      <c r="BD224" s="10"/>
      <c r="BE224" s="4"/>
      <c r="BF224" s="10"/>
      <c r="BG224" s="4"/>
      <c r="BH224" s="10"/>
      <c r="BI224" s="4"/>
      <c r="BJ224" s="10"/>
      <c r="BK224" s="4"/>
      <c r="BL224" s="10"/>
      <c r="BM224" s="4"/>
      <c r="BN224" s="22">
        <f>BD148</f>
        <v>-127637.5</v>
      </c>
      <c r="BO224" s="4"/>
      <c r="BP224" s="10"/>
      <c r="BQ224" s="4"/>
      <c r="BR224" s="10"/>
      <c r="BS224" s="9"/>
      <c r="BT224" s="10"/>
      <c r="BU224" s="9"/>
      <c r="BV224" s="10"/>
      <c r="BW224" s="9"/>
      <c r="BX224" s="4"/>
      <c r="BY224" s="4"/>
      <c r="BZ224" s="4"/>
      <c r="CA224" s="4"/>
      <c r="CB224" s="4"/>
      <c r="CC224" s="4"/>
      <c r="CD224" s="4"/>
      <c r="CE224" s="4"/>
      <c r="CF224" s="4"/>
      <c r="CG224" s="4"/>
      <c r="CH224" s="4"/>
      <c r="CI224" s="4"/>
      <c r="CJ224" s="4"/>
      <c r="CK224" s="4"/>
      <c r="CL224" s="4"/>
      <c r="CM224" s="4"/>
      <c r="CN224" s="4"/>
      <c r="CO224" s="4"/>
      <c r="CP224" s="4"/>
      <c r="CQ224" s="4"/>
      <c r="CR224" s="4"/>
      <c r="CS224" s="4"/>
      <c r="CT224" s="4"/>
      <c r="CU224" s="4"/>
      <c r="CV224" s="4"/>
      <c r="CW224" s="4"/>
      <c r="CX224" s="4"/>
      <c r="CY224" s="4"/>
      <c r="CZ224" s="4"/>
      <c r="DA224" s="4"/>
      <c r="DB224" s="4"/>
      <c r="DC224" s="4"/>
      <c r="DD224" s="4"/>
      <c r="DE224" s="4"/>
      <c r="DF224" s="4"/>
      <c r="DG224" s="4"/>
      <c r="DH224" s="4"/>
      <c r="DI224" s="4"/>
      <c r="DJ224" s="4"/>
      <c r="DK224" s="4"/>
      <c r="DL224" s="4"/>
      <c r="DM224" s="4"/>
      <c r="DN224" s="4"/>
      <c r="DO224" s="4"/>
      <c r="DP224" s="4"/>
      <c r="DQ224" s="4"/>
      <c r="DR224" s="4"/>
      <c r="DS224" s="4"/>
      <c r="DT224" s="4"/>
    </row>
    <row r="225" spans="1:124" s="21" customFormat="1" hidden="1">
      <c r="A225" s="58"/>
      <c r="B225" s="31"/>
      <c r="J225" s="8"/>
      <c r="L225" s="141"/>
      <c r="M225" s="9"/>
      <c r="N225" s="10"/>
      <c r="O225" s="9"/>
      <c r="P225" s="10"/>
      <c r="Q225" s="9"/>
      <c r="R225" s="10"/>
      <c r="S225" s="9"/>
      <c r="T225" s="10"/>
      <c r="U225" s="9"/>
      <c r="V225" s="10"/>
      <c r="W225" s="9"/>
      <c r="X225" s="10"/>
      <c r="Y225" s="9"/>
      <c r="Z225" s="10"/>
      <c r="AA225" s="9"/>
      <c r="AB225" s="10"/>
      <c r="AC225" s="9"/>
      <c r="AD225" s="10"/>
      <c r="AE225" s="9"/>
      <c r="AF225" s="10"/>
      <c r="AG225" s="9"/>
      <c r="AH225" s="10"/>
      <c r="AI225" s="4"/>
      <c r="AJ225" s="10"/>
      <c r="AK225" s="4"/>
      <c r="AL225" s="10"/>
      <c r="AM225" s="4"/>
      <c r="AN225" s="10"/>
      <c r="AO225" s="9"/>
      <c r="AP225" s="10"/>
      <c r="AQ225" s="9"/>
      <c r="AR225" s="10"/>
      <c r="AS225" s="9"/>
      <c r="AT225" s="10"/>
      <c r="AU225" s="10"/>
      <c r="AV225" s="10"/>
      <c r="AW225" s="10"/>
      <c r="AX225" s="10"/>
      <c r="AY225" s="10"/>
      <c r="AZ225" s="10"/>
      <c r="BA225" s="10"/>
      <c r="BB225" s="10"/>
      <c r="BC225" s="10"/>
      <c r="BD225" s="10"/>
      <c r="BE225" s="4"/>
      <c r="BF225" s="10"/>
      <c r="BG225" s="4"/>
      <c r="BH225" s="10"/>
      <c r="BI225" s="4"/>
      <c r="BJ225" s="10"/>
      <c r="BK225" s="4"/>
      <c r="BL225" s="10"/>
      <c r="BM225" s="4"/>
      <c r="BN225" s="22">
        <f>SUM(BN217:BN224)</f>
        <v>260859529.91999999</v>
      </c>
      <c r="BO225" s="4"/>
      <c r="BP225" s="10"/>
      <c r="BQ225" s="4"/>
      <c r="BR225" s="10"/>
      <c r="BS225" s="9"/>
      <c r="BT225" s="10"/>
      <c r="BU225" s="9"/>
      <c r="BV225" s="10"/>
      <c r="BW225" s="9"/>
      <c r="BX225" s="4"/>
      <c r="BY225" s="4"/>
      <c r="BZ225" s="4"/>
      <c r="CA225" s="4"/>
      <c r="CB225" s="4"/>
      <c r="CC225" s="4"/>
      <c r="CD225" s="4"/>
      <c r="CE225" s="4"/>
      <c r="CF225" s="4"/>
      <c r="CG225" s="4"/>
      <c r="CH225" s="4"/>
      <c r="CI225" s="4"/>
      <c r="CJ225" s="4"/>
      <c r="CK225" s="4"/>
      <c r="CL225" s="4"/>
      <c r="CM225" s="4"/>
      <c r="CN225" s="4"/>
      <c r="CO225" s="4"/>
      <c r="CP225" s="4"/>
      <c r="CQ225" s="4"/>
      <c r="CR225" s="4"/>
      <c r="CS225" s="4"/>
      <c r="CT225" s="4"/>
      <c r="CU225" s="4"/>
      <c r="CV225" s="4"/>
      <c r="CW225" s="4"/>
      <c r="CX225" s="4"/>
      <c r="CY225" s="4"/>
      <c r="CZ225" s="4"/>
      <c r="DA225" s="4"/>
      <c r="DB225" s="4"/>
      <c r="DC225" s="4"/>
      <c r="DD225" s="4"/>
      <c r="DE225" s="4"/>
      <c r="DF225" s="4"/>
      <c r="DG225" s="4"/>
      <c r="DH225" s="4"/>
      <c r="DI225" s="4"/>
      <c r="DJ225" s="4"/>
      <c r="DK225" s="4"/>
      <c r="DL225" s="4"/>
      <c r="DM225" s="4"/>
      <c r="DN225" s="4"/>
      <c r="DO225" s="4"/>
      <c r="DP225" s="4"/>
      <c r="DQ225" s="4"/>
      <c r="DR225" s="4"/>
      <c r="DS225" s="4"/>
      <c r="DT225" s="4"/>
    </row>
    <row r="226" spans="1:124" s="21" customFormat="1" hidden="1">
      <c r="A226" s="58"/>
      <c r="B226" s="31"/>
      <c r="J226" s="8"/>
      <c r="L226" s="141"/>
      <c r="M226" s="9"/>
      <c r="N226" s="10"/>
      <c r="O226" s="9"/>
      <c r="P226" s="10"/>
      <c r="Q226" s="9"/>
      <c r="R226" s="10"/>
      <c r="S226" s="9"/>
      <c r="T226" s="10"/>
      <c r="U226" s="9"/>
      <c r="V226" s="10"/>
      <c r="W226" s="9"/>
      <c r="X226" s="10"/>
      <c r="Y226" s="9"/>
      <c r="Z226" s="10"/>
      <c r="AA226" s="9"/>
      <c r="AB226" s="10"/>
      <c r="AC226" s="9"/>
      <c r="AD226" s="10"/>
      <c r="AE226" s="9"/>
      <c r="AF226" s="10"/>
      <c r="AG226" s="9"/>
      <c r="AH226" s="10"/>
      <c r="AI226" s="4"/>
      <c r="AJ226" s="10"/>
      <c r="AK226" s="4"/>
      <c r="AL226" s="10"/>
      <c r="AM226" s="4"/>
      <c r="AN226" s="10"/>
      <c r="AO226" s="9"/>
      <c r="AP226" s="10"/>
      <c r="AQ226" s="9"/>
      <c r="AR226" s="10"/>
      <c r="AS226" s="9"/>
      <c r="AT226" s="10"/>
      <c r="AU226" s="10"/>
      <c r="AV226" s="10"/>
      <c r="AW226" s="10"/>
      <c r="AX226" s="10"/>
      <c r="AY226" s="10"/>
      <c r="AZ226" s="10"/>
      <c r="BA226" s="10"/>
      <c r="BB226" s="10"/>
      <c r="BC226" s="10"/>
      <c r="BD226" s="10"/>
      <c r="BE226" s="4"/>
      <c r="BF226" s="10"/>
      <c r="BG226" s="4"/>
      <c r="BH226" s="10"/>
      <c r="BI226" s="4"/>
      <c r="BJ226" s="10"/>
      <c r="BK226" s="4"/>
      <c r="BL226" s="10"/>
      <c r="BM226" s="4"/>
      <c r="BN226" s="22"/>
      <c r="BO226" s="4"/>
      <c r="BP226" s="10"/>
      <c r="BQ226" s="4"/>
      <c r="BR226" s="10"/>
      <c r="BS226" s="9"/>
      <c r="BT226" s="10"/>
      <c r="BU226" s="9"/>
      <c r="BV226" s="10"/>
      <c r="BW226" s="9"/>
      <c r="BX226" s="4"/>
      <c r="BY226" s="4"/>
      <c r="BZ226" s="4"/>
      <c r="CA226" s="4"/>
      <c r="CB226" s="4"/>
      <c r="CC226" s="4"/>
      <c r="CD226" s="4"/>
      <c r="CE226" s="4"/>
      <c r="CF226" s="4"/>
      <c r="CG226" s="4"/>
      <c r="CH226" s="4"/>
      <c r="CI226" s="4"/>
      <c r="CJ226" s="4"/>
      <c r="CK226" s="4"/>
      <c r="CL226" s="4"/>
      <c r="CM226" s="4"/>
      <c r="CN226" s="4"/>
      <c r="CO226" s="4"/>
      <c r="CP226" s="4"/>
      <c r="CQ226" s="4"/>
      <c r="CR226" s="4"/>
      <c r="CS226" s="4"/>
      <c r="CT226" s="4"/>
      <c r="CU226" s="4"/>
      <c r="CV226" s="4"/>
      <c r="CW226" s="4"/>
      <c r="CX226" s="4"/>
      <c r="CY226" s="4"/>
      <c r="CZ226" s="4"/>
      <c r="DA226" s="4"/>
      <c r="DB226" s="4"/>
      <c r="DC226" s="4"/>
      <c r="DD226" s="4"/>
      <c r="DE226" s="4"/>
      <c r="DF226" s="4"/>
      <c r="DG226" s="4"/>
      <c r="DH226" s="4"/>
      <c r="DI226" s="4"/>
      <c r="DJ226" s="4"/>
      <c r="DK226" s="4"/>
      <c r="DL226" s="4"/>
      <c r="DM226" s="4"/>
      <c r="DN226" s="4"/>
      <c r="DO226" s="4"/>
      <c r="DP226" s="4"/>
      <c r="DQ226" s="4"/>
      <c r="DR226" s="4"/>
      <c r="DS226" s="4"/>
      <c r="DT226" s="4"/>
    </row>
    <row r="227" spans="1:124" s="21" customFormat="1" hidden="1">
      <c r="A227" s="58"/>
      <c r="B227" s="31"/>
      <c r="J227" s="8"/>
      <c r="L227" s="141"/>
      <c r="M227" s="9"/>
      <c r="N227" s="10"/>
      <c r="O227" s="9"/>
      <c r="P227" s="10"/>
      <c r="Q227" s="9"/>
      <c r="R227" s="10"/>
      <c r="S227" s="9"/>
      <c r="T227" s="10"/>
      <c r="U227" s="9"/>
      <c r="V227" s="10"/>
      <c r="W227" s="9"/>
      <c r="X227" s="10"/>
      <c r="Y227" s="9"/>
      <c r="Z227" s="10"/>
      <c r="AA227" s="9"/>
      <c r="AB227" s="10"/>
      <c r="AC227" s="9"/>
      <c r="AD227" s="10"/>
      <c r="AE227" s="9"/>
      <c r="AF227" s="10"/>
      <c r="AG227" s="9"/>
      <c r="AH227" s="10"/>
      <c r="AI227" s="4"/>
      <c r="AJ227" s="10"/>
      <c r="AK227" s="4"/>
      <c r="AL227" s="10"/>
      <c r="AM227" s="4"/>
      <c r="AN227" s="10"/>
      <c r="AO227" s="9"/>
      <c r="AP227" s="10"/>
      <c r="AQ227" s="9"/>
      <c r="AR227" s="10"/>
      <c r="AS227" s="9"/>
      <c r="AT227" s="10"/>
      <c r="AU227" s="10"/>
      <c r="AV227" s="10"/>
      <c r="AW227" s="10"/>
      <c r="AX227" s="10"/>
      <c r="AY227" s="10"/>
      <c r="AZ227" s="10"/>
      <c r="BA227" s="10"/>
      <c r="BB227" s="10"/>
      <c r="BC227" s="10"/>
      <c r="BD227" s="10"/>
      <c r="BE227" s="4"/>
      <c r="BF227" s="10"/>
      <c r="BG227" s="4"/>
      <c r="BH227" s="10"/>
      <c r="BI227" s="4"/>
      <c r="BJ227" s="10"/>
      <c r="BK227" s="4"/>
      <c r="BL227" s="10"/>
      <c r="BM227" s="4"/>
      <c r="BN227" s="22">
        <f>BN247-BN225</f>
        <v>7199966.6186920404</v>
      </c>
      <c r="BO227" s="4"/>
      <c r="BP227" s="10"/>
      <c r="BQ227" s="4"/>
      <c r="BR227" s="10"/>
      <c r="BS227" s="9"/>
      <c r="BT227" s="10"/>
      <c r="BU227" s="9"/>
      <c r="BV227" s="10"/>
      <c r="BW227" s="9"/>
      <c r="BX227" s="4"/>
      <c r="BY227" s="4"/>
      <c r="BZ227" s="4"/>
      <c r="CA227" s="4"/>
      <c r="CB227" s="4"/>
      <c r="CC227" s="4"/>
      <c r="CD227" s="4"/>
      <c r="CE227" s="4"/>
      <c r="CF227" s="4"/>
      <c r="CG227" s="4"/>
      <c r="CH227" s="4"/>
      <c r="CI227" s="4"/>
      <c r="CJ227" s="4"/>
      <c r="CK227" s="4"/>
      <c r="CL227" s="4"/>
      <c r="CM227" s="4"/>
      <c r="CN227" s="4"/>
      <c r="CO227" s="4"/>
      <c r="CP227" s="4"/>
      <c r="CQ227" s="4"/>
      <c r="CR227" s="4"/>
      <c r="CS227" s="4"/>
      <c r="CT227" s="4"/>
      <c r="CU227" s="4"/>
      <c r="CV227" s="4"/>
      <c r="CW227" s="4"/>
      <c r="CX227" s="4"/>
      <c r="CY227" s="4"/>
      <c r="CZ227" s="4"/>
      <c r="DA227" s="4"/>
      <c r="DB227" s="4"/>
      <c r="DC227" s="4"/>
      <c r="DD227" s="4"/>
      <c r="DE227" s="4"/>
      <c r="DF227" s="4"/>
      <c r="DG227" s="4"/>
      <c r="DH227" s="4"/>
      <c r="DI227" s="4"/>
      <c r="DJ227" s="4"/>
      <c r="DK227" s="4"/>
      <c r="DL227" s="4"/>
      <c r="DM227" s="4"/>
      <c r="DN227" s="4"/>
      <c r="DO227" s="4"/>
      <c r="DP227" s="4"/>
      <c r="DQ227" s="4"/>
      <c r="DR227" s="4"/>
      <c r="DS227" s="4"/>
      <c r="DT227" s="4"/>
    </row>
    <row r="228" spans="1:124" s="21" customFormat="1" hidden="1">
      <c r="A228" s="58"/>
      <c r="B228" s="31"/>
      <c r="J228" s="8"/>
      <c r="L228" s="141"/>
      <c r="M228" s="9"/>
      <c r="N228" s="10"/>
      <c r="O228" s="9"/>
      <c r="P228" s="10"/>
      <c r="Q228" s="9"/>
      <c r="R228" s="10"/>
      <c r="S228" s="9"/>
      <c r="T228" s="10"/>
      <c r="U228" s="9"/>
      <c r="V228" s="10"/>
      <c r="W228" s="9"/>
      <c r="X228" s="10"/>
      <c r="Y228" s="9"/>
      <c r="Z228" s="10"/>
      <c r="AA228" s="9"/>
      <c r="AB228" s="10"/>
      <c r="AC228" s="9"/>
      <c r="AD228" s="10"/>
      <c r="AE228" s="9"/>
      <c r="AF228" s="10"/>
      <c r="AG228" s="9"/>
      <c r="AH228" s="10"/>
      <c r="AI228" s="4"/>
      <c r="AJ228" s="10"/>
      <c r="AK228" s="4"/>
      <c r="AL228" s="10"/>
      <c r="AM228" s="4"/>
      <c r="AN228" s="10"/>
      <c r="AO228" s="9"/>
      <c r="AP228" s="10"/>
      <c r="AQ228" s="9"/>
      <c r="AR228" s="10"/>
      <c r="AS228" s="9"/>
      <c r="AT228" s="10"/>
      <c r="AU228" s="10"/>
      <c r="AV228" s="10"/>
      <c r="AW228" s="10"/>
      <c r="AX228" s="10"/>
      <c r="AY228" s="10"/>
      <c r="AZ228" s="10"/>
      <c r="BA228" s="10"/>
      <c r="BB228" s="10"/>
      <c r="BC228" s="10"/>
      <c r="BD228" s="10"/>
      <c r="BE228" s="4"/>
      <c r="BF228" s="10"/>
      <c r="BG228" s="4"/>
      <c r="BH228" s="10"/>
      <c r="BI228" s="4"/>
      <c r="BJ228" s="10"/>
      <c r="BK228" s="4"/>
      <c r="BL228" s="10"/>
      <c r="BM228" s="4"/>
      <c r="BN228" s="22"/>
      <c r="BO228" s="4"/>
      <c r="BP228" s="10"/>
      <c r="BQ228" s="4"/>
      <c r="BR228" s="10"/>
      <c r="BS228" s="9"/>
      <c r="BT228" s="10"/>
      <c r="BU228" s="9"/>
      <c r="BV228" s="10"/>
      <c r="BW228" s="9"/>
      <c r="BX228" s="4"/>
      <c r="BY228" s="4"/>
      <c r="BZ228" s="4"/>
      <c r="CA228" s="4"/>
      <c r="CB228" s="4"/>
      <c r="CC228" s="4"/>
      <c r="CD228" s="4"/>
      <c r="CE228" s="4"/>
      <c r="CF228" s="4"/>
      <c r="CG228" s="4"/>
      <c r="CH228" s="4"/>
      <c r="CI228" s="4"/>
      <c r="CJ228" s="4"/>
      <c r="CK228" s="4"/>
      <c r="CL228" s="4"/>
      <c r="CM228" s="4"/>
      <c r="CN228" s="4"/>
      <c r="CO228" s="4"/>
      <c r="CP228" s="4"/>
      <c r="CQ228" s="4"/>
      <c r="CR228" s="4"/>
      <c r="CS228" s="4"/>
      <c r="CT228" s="4"/>
      <c r="CU228" s="4"/>
      <c r="CV228" s="4"/>
      <c r="CW228" s="4"/>
      <c r="CX228" s="4"/>
      <c r="CY228" s="4"/>
      <c r="CZ228" s="4"/>
      <c r="DA228" s="4"/>
      <c r="DB228" s="4"/>
      <c r="DC228" s="4"/>
      <c r="DD228" s="4"/>
      <c r="DE228" s="4"/>
      <c r="DF228" s="4"/>
      <c r="DG228" s="4"/>
      <c r="DH228" s="4"/>
      <c r="DI228" s="4"/>
      <c r="DJ228" s="4"/>
      <c r="DK228" s="4"/>
      <c r="DL228" s="4"/>
      <c r="DM228" s="4"/>
      <c r="DN228" s="4"/>
      <c r="DO228" s="4"/>
      <c r="DP228" s="4"/>
      <c r="DQ228" s="4"/>
      <c r="DR228" s="4"/>
      <c r="DS228" s="4"/>
      <c r="DT228" s="4"/>
    </row>
    <row r="229" spans="1:124" s="21" customFormat="1">
      <c r="A229" s="58"/>
      <c r="B229" s="31"/>
      <c r="J229" s="8"/>
      <c r="L229" s="141"/>
      <c r="M229" s="9"/>
      <c r="N229" s="10"/>
      <c r="O229" s="9"/>
      <c r="P229" s="10"/>
      <c r="Q229" s="9"/>
      <c r="R229" s="10"/>
      <c r="S229" s="9"/>
      <c r="T229" s="10"/>
      <c r="U229" s="9"/>
      <c r="V229" s="10"/>
      <c r="W229" s="9"/>
      <c r="X229" s="10"/>
      <c r="Y229" s="9"/>
      <c r="Z229" s="10"/>
      <c r="AA229" s="9"/>
      <c r="AB229" s="10"/>
      <c r="AC229" s="9"/>
      <c r="AD229" s="10"/>
      <c r="AE229" s="9"/>
      <c r="AF229" s="10"/>
      <c r="AG229" s="9"/>
      <c r="AH229" s="10"/>
      <c r="AI229" s="4"/>
      <c r="AJ229" s="10"/>
      <c r="AK229" s="4"/>
      <c r="AL229" s="10"/>
      <c r="AM229" s="4"/>
      <c r="AN229" s="10"/>
      <c r="AO229" s="9"/>
      <c r="AP229" s="10"/>
      <c r="AQ229" s="9"/>
      <c r="AR229" s="10"/>
      <c r="AS229" s="9"/>
      <c r="AT229" s="10"/>
      <c r="AU229" s="10"/>
      <c r="AV229" s="10"/>
      <c r="AW229" s="10"/>
      <c r="AX229" s="10"/>
      <c r="AY229" s="10"/>
      <c r="AZ229" s="10"/>
      <c r="BA229" s="10"/>
      <c r="BB229" s="10"/>
      <c r="BC229" s="10"/>
      <c r="BD229" s="10"/>
      <c r="BE229" s="4"/>
      <c r="BF229" s="10"/>
      <c r="BG229" s="4"/>
      <c r="BH229" s="10"/>
      <c r="BI229" s="4"/>
      <c r="BJ229" s="10"/>
      <c r="BK229" s="4"/>
      <c r="BL229" s="10"/>
      <c r="BM229" s="4"/>
      <c r="BN229" s="10"/>
      <c r="BO229" s="4"/>
      <c r="BP229" s="10"/>
      <c r="BQ229" s="4"/>
      <c r="BR229" s="10"/>
      <c r="BS229" s="9"/>
      <c r="BT229" s="10"/>
      <c r="BU229" s="9"/>
      <c r="BV229" s="10"/>
      <c r="BW229" s="9"/>
      <c r="BX229" s="4"/>
      <c r="BY229" s="4"/>
      <c r="BZ229" s="4"/>
      <c r="CA229" s="4"/>
      <c r="CB229" s="4"/>
      <c r="CC229" s="4"/>
      <c r="CD229" s="4"/>
      <c r="CE229" s="4"/>
      <c r="CF229" s="4"/>
      <c r="CG229" s="4"/>
      <c r="CH229" s="4"/>
      <c r="CI229" s="4"/>
      <c r="CJ229" s="4"/>
      <c r="CK229" s="4"/>
      <c r="CL229" s="4"/>
      <c r="CM229" s="4"/>
      <c r="CN229" s="4"/>
      <c r="CO229" s="4"/>
      <c r="CP229" s="4"/>
      <c r="CQ229" s="4"/>
      <c r="CR229" s="4"/>
      <c r="CS229" s="4"/>
      <c r="CT229" s="4"/>
      <c r="CU229" s="4"/>
      <c r="CV229" s="4"/>
      <c r="CW229" s="4"/>
      <c r="CX229" s="4"/>
      <c r="CY229" s="4"/>
      <c r="CZ229" s="4"/>
      <c r="DA229" s="4"/>
      <c r="DB229" s="4"/>
      <c r="DC229" s="4"/>
      <c r="DD229" s="4"/>
      <c r="DE229" s="4"/>
      <c r="DF229" s="4"/>
      <c r="DG229" s="4"/>
      <c r="DH229" s="4"/>
      <c r="DI229" s="4"/>
      <c r="DJ229" s="4"/>
      <c r="DK229" s="4"/>
      <c r="DL229" s="4"/>
      <c r="DM229" s="4"/>
      <c r="DN229" s="4"/>
      <c r="DO229" s="4"/>
      <c r="DP229" s="4"/>
      <c r="DQ229" s="4"/>
      <c r="DR229" s="4"/>
      <c r="DS229" s="4"/>
      <c r="DT229" s="4"/>
    </row>
    <row r="230" spans="1:124" s="21" customFormat="1">
      <c r="A230" s="58"/>
      <c r="B230" s="31"/>
      <c r="J230" s="8"/>
      <c r="L230" s="141"/>
      <c r="M230" s="9"/>
      <c r="N230" s="10"/>
      <c r="O230" s="9"/>
      <c r="P230" s="10"/>
      <c r="Q230" s="9"/>
      <c r="R230" s="10"/>
      <c r="S230" s="9"/>
      <c r="T230" s="10"/>
      <c r="U230" s="9"/>
      <c r="V230" s="10"/>
      <c r="W230" s="9"/>
      <c r="X230" s="10"/>
      <c r="Y230" s="9"/>
      <c r="Z230" s="10"/>
      <c r="AA230" s="9"/>
      <c r="AB230" s="10"/>
      <c r="AC230" s="9"/>
      <c r="AD230" s="10"/>
      <c r="AE230" s="9"/>
      <c r="AF230" s="10"/>
      <c r="AG230" s="9"/>
      <c r="AH230" s="10"/>
      <c r="AI230" s="4"/>
      <c r="AJ230" s="10"/>
      <c r="AK230" s="4"/>
      <c r="AL230" s="10"/>
      <c r="AM230" s="4"/>
      <c r="AN230" s="10"/>
      <c r="AO230" s="9"/>
      <c r="AP230" s="10"/>
      <c r="AQ230" s="9"/>
      <c r="AR230" s="10"/>
      <c r="AS230" s="9"/>
      <c r="AT230" s="10"/>
      <c r="AU230" s="10"/>
      <c r="AV230" s="10"/>
      <c r="AW230" s="10"/>
      <c r="AX230" s="10"/>
      <c r="AY230" s="10"/>
      <c r="AZ230" s="10"/>
      <c r="BA230" s="10"/>
      <c r="BB230" s="10"/>
      <c r="BC230" s="10"/>
      <c r="BD230" s="10"/>
      <c r="BE230" s="4"/>
      <c r="BF230" s="10"/>
      <c r="BG230" s="4"/>
      <c r="BH230" s="10"/>
      <c r="BI230" s="4"/>
      <c r="BJ230" s="10"/>
      <c r="BK230" s="4"/>
      <c r="BL230" s="10"/>
      <c r="BM230" s="4"/>
      <c r="BN230" s="10"/>
      <c r="BO230" s="4"/>
      <c r="BP230" s="10"/>
      <c r="BQ230" s="4"/>
      <c r="BR230" s="10"/>
      <c r="BS230" s="9"/>
      <c r="BT230" s="10"/>
      <c r="BU230" s="9"/>
      <c r="BV230" s="10"/>
      <c r="BW230" s="9"/>
      <c r="BX230" s="4"/>
      <c r="BY230" s="4"/>
      <c r="BZ230" s="4"/>
      <c r="CA230" s="4"/>
      <c r="CB230" s="4"/>
      <c r="CC230" s="4"/>
      <c r="CD230" s="4"/>
      <c r="CE230" s="4"/>
      <c r="CF230" s="4"/>
      <c r="CG230" s="4"/>
      <c r="CH230" s="4"/>
      <c r="CI230" s="4"/>
      <c r="CJ230" s="4"/>
      <c r="CK230" s="4"/>
      <c r="CL230" s="4"/>
      <c r="CM230" s="4"/>
      <c r="CN230" s="4"/>
      <c r="CO230" s="4"/>
      <c r="CP230" s="4"/>
      <c r="CQ230" s="4"/>
      <c r="CR230" s="4"/>
      <c r="CS230" s="4"/>
      <c r="CT230" s="4"/>
      <c r="CU230" s="4"/>
      <c r="CV230" s="4"/>
      <c r="CW230" s="4"/>
      <c r="CX230" s="4"/>
      <c r="CY230" s="4"/>
      <c r="CZ230" s="4"/>
      <c r="DA230" s="4"/>
      <c r="DB230" s="4"/>
      <c r="DC230" s="4"/>
      <c r="DD230" s="4"/>
      <c r="DE230" s="4"/>
      <c r="DF230" s="4"/>
      <c r="DG230" s="4"/>
      <c r="DH230" s="4"/>
      <c r="DI230" s="4"/>
      <c r="DJ230" s="4"/>
      <c r="DK230" s="4"/>
      <c r="DL230" s="4"/>
      <c r="DM230" s="4"/>
      <c r="DN230" s="4"/>
      <c r="DO230" s="4"/>
      <c r="DP230" s="4"/>
      <c r="DQ230" s="4"/>
      <c r="DR230" s="4"/>
      <c r="DS230" s="4"/>
      <c r="DT230" s="4"/>
    </row>
    <row r="231" spans="1:124" s="21" customFormat="1">
      <c r="A231" s="58"/>
      <c r="B231" s="31"/>
      <c r="J231" s="8"/>
      <c r="L231" s="141"/>
      <c r="M231" s="9"/>
      <c r="N231" s="10"/>
      <c r="O231" s="9"/>
      <c r="P231" s="10"/>
      <c r="Q231" s="9"/>
      <c r="R231" s="10"/>
      <c r="S231" s="9"/>
      <c r="T231" s="10"/>
      <c r="U231" s="9"/>
      <c r="V231" s="10"/>
      <c r="W231" s="9"/>
      <c r="X231" s="10"/>
      <c r="Y231" s="9"/>
      <c r="Z231" s="10"/>
      <c r="AA231" s="9"/>
      <c r="AB231" s="10"/>
      <c r="AC231" s="9"/>
      <c r="AD231" s="10"/>
      <c r="AE231" s="9"/>
      <c r="AF231" s="10"/>
      <c r="AG231" s="9"/>
      <c r="AH231" s="10"/>
      <c r="AI231" s="4"/>
      <c r="AJ231" s="10"/>
      <c r="AK231" s="4"/>
      <c r="AL231" s="10"/>
      <c r="AM231" s="4"/>
      <c r="AN231" s="10"/>
      <c r="AO231" s="9"/>
      <c r="AP231" s="10"/>
      <c r="AQ231" s="9"/>
      <c r="AR231" s="10"/>
      <c r="AS231" s="9"/>
      <c r="AT231" s="10"/>
      <c r="AU231" s="10"/>
      <c r="AV231" s="10"/>
      <c r="AW231" s="10"/>
      <c r="AX231" s="10"/>
      <c r="AY231" s="10"/>
      <c r="AZ231" s="10"/>
      <c r="BA231" s="10"/>
      <c r="BB231" s="10"/>
      <c r="BC231" s="10"/>
      <c r="BD231" s="10"/>
      <c r="BE231" s="4"/>
      <c r="BF231" s="10"/>
      <c r="BG231" s="4"/>
      <c r="BH231" s="10"/>
      <c r="BI231" s="4"/>
      <c r="BJ231" s="10"/>
      <c r="BK231" s="4"/>
      <c r="BL231" s="10"/>
      <c r="BM231" s="4"/>
      <c r="BN231" s="10"/>
      <c r="BO231" s="4"/>
      <c r="BP231" s="10"/>
      <c r="BQ231" s="4"/>
      <c r="BR231" s="10"/>
      <c r="BS231" s="9"/>
      <c r="BT231" s="10"/>
      <c r="BU231" s="9"/>
      <c r="BV231" s="10"/>
      <c r="BW231" s="9"/>
      <c r="BX231" s="4"/>
      <c r="BY231" s="4"/>
      <c r="BZ231" s="4"/>
      <c r="CA231" s="4"/>
      <c r="CB231" s="4"/>
      <c r="CC231" s="4"/>
      <c r="CD231" s="4"/>
      <c r="CE231" s="4"/>
      <c r="CF231" s="4"/>
      <c r="CG231" s="4"/>
      <c r="CH231" s="4"/>
      <c r="CI231" s="4"/>
      <c r="CJ231" s="4"/>
      <c r="CK231" s="4"/>
      <c r="CL231" s="4"/>
      <c r="CM231" s="4"/>
      <c r="CN231" s="4"/>
      <c r="CO231" s="4"/>
      <c r="CP231" s="4"/>
      <c r="CQ231" s="4"/>
      <c r="CR231" s="4"/>
      <c r="CS231" s="4"/>
      <c r="CT231" s="4"/>
      <c r="CU231" s="4"/>
      <c r="CV231" s="4"/>
      <c r="CW231" s="4"/>
      <c r="CX231" s="4"/>
      <c r="CY231" s="4"/>
      <c r="CZ231" s="4"/>
      <c r="DA231" s="4"/>
      <c r="DB231" s="4"/>
      <c r="DC231" s="4"/>
      <c r="DD231" s="4"/>
      <c r="DE231" s="4"/>
      <c r="DF231" s="4"/>
      <c r="DG231" s="4"/>
      <c r="DH231" s="4"/>
      <c r="DI231" s="4"/>
      <c r="DJ231" s="4"/>
      <c r="DK231" s="4"/>
      <c r="DL231" s="4"/>
      <c r="DM231" s="4"/>
      <c r="DN231" s="4"/>
      <c r="DO231" s="4"/>
      <c r="DP231" s="4"/>
      <c r="DQ231" s="4"/>
      <c r="DR231" s="4"/>
      <c r="DS231" s="4"/>
      <c r="DT231" s="4"/>
    </row>
    <row r="232" spans="1:124" s="21" customFormat="1">
      <c r="A232" s="58"/>
      <c r="B232" s="31"/>
      <c r="J232" s="8"/>
      <c r="L232" s="141"/>
      <c r="M232" s="9"/>
      <c r="N232" s="10"/>
      <c r="O232" s="9"/>
      <c r="P232" s="10"/>
      <c r="Q232" s="9"/>
      <c r="R232" s="10"/>
      <c r="S232" s="9"/>
      <c r="T232" s="10"/>
      <c r="U232" s="9"/>
      <c r="V232" s="10"/>
      <c r="W232" s="9"/>
      <c r="X232" s="10"/>
      <c r="Y232" s="9"/>
      <c r="Z232" s="10"/>
      <c r="AA232" s="9"/>
      <c r="AB232" s="10"/>
      <c r="AC232" s="9"/>
      <c r="AD232" s="10"/>
      <c r="AE232" s="9"/>
      <c r="AF232" s="10"/>
      <c r="AG232" s="9"/>
      <c r="AH232" s="10"/>
      <c r="AI232" s="4"/>
      <c r="AJ232" s="10"/>
      <c r="AK232" s="4"/>
      <c r="AL232" s="10"/>
      <c r="AM232" s="4"/>
      <c r="AN232" s="10"/>
      <c r="AO232" s="9"/>
      <c r="AP232" s="10"/>
      <c r="AQ232" s="9"/>
      <c r="AR232" s="10"/>
      <c r="AS232" s="9"/>
      <c r="AT232" s="10"/>
      <c r="AU232" s="10"/>
      <c r="AV232" s="10"/>
      <c r="AW232" s="10"/>
      <c r="AX232" s="10"/>
      <c r="AY232" s="10"/>
      <c r="AZ232" s="10"/>
      <c r="BA232" s="10"/>
      <c r="BB232" s="10"/>
      <c r="BC232" s="10"/>
      <c r="BD232" s="10"/>
      <c r="BE232" s="4"/>
      <c r="BF232" s="10"/>
      <c r="BG232" s="4"/>
      <c r="BH232" s="10"/>
      <c r="BI232" s="4"/>
      <c r="BJ232" s="10"/>
      <c r="BK232" s="4"/>
      <c r="BL232" s="10"/>
      <c r="BM232" s="4"/>
      <c r="BN232" s="10"/>
      <c r="BO232" s="4"/>
      <c r="BP232" s="10"/>
      <c r="BQ232" s="4"/>
      <c r="BR232" s="10"/>
      <c r="BS232" s="9"/>
      <c r="BT232" s="10"/>
      <c r="BU232" s="9"/>
      <c r="BV232" s="10"/>
      <c r="BW232" s="9"/>
      <c r="BX232" s="4"/>
      <c r="BY232" s="4"/>
      <c r="BZ232" s="4"/>
      <c r="CA232" s="4"/>
      <c r="CB232" s="4"/>
      <c r="CC232" s="4"/>
      <c r="CD232" s="4"/>
      <c r="CE232" s="4"/>
      <c r="CF232" s="4"/>
      <c r="CG232" s="4"/>
      <c r="CH232" s="4"/>
      <c r="CI232" s="4"/>
      <c r="CJ232" s="4"/>
      <c r="CK232" s="4"/>
      <c r="CL232" s="4"/>
      <c r="CM232" s="4"/>
      <c r="CN232" s="4"/>
      <c r="CO232" s="4"/>
      <c r="CP232" s="4"/>
      <c r="CQ232" s="4"/>
      <c r="CR232" s="4"/>
      <c r="CS232" s="4"/>
      <c r="CT232" s="4"/>
      <c r="CU232" s="4"/>
      <c r="CV232" s="4"/>
      <c r="CW232" s="4"/>
      <c r="CX232" s="4"/>
      <c r="CY232" s="4"/>
      <c r="CZ232" s="4"/>
      <c r="DA232" s="4"/>
      <c r="DB232" s="4"/>
      <c r="DC232" s="4"/>
      <c r="DD232" s="4"/>
      <c r="DE232" s="4"/>
      <c r="DF232" s="4"/>
      <c r="DG232" s="4"/>
      <c r="DH232" s="4"/>
      <c r="DI232" s="4"/>
      <c r="DJ232" s="4"/>
      <c r="DK232" s="4"/>
      <c r="DL232" s="4"/>
      <c r="DM232" s="4"/>
      <c r="DN232" s="4"/>
      <c r="DO232" s="4"/>
      <c r="DP232" s="4"/>
      <c r="DQ232" s="4"/>
      <c r="DR232" s="4"/>
      <c r="DS232" s="4"/>
      <c r="DT232" s="4"/>
    </row>
    <row r="233" spans="1:124" s="21" customFormat="1" hidden="1">
      <c r="A233" s="58"/>
      <c r="B233" s="31"/>
      <c r="J233" s="8"/>
      <c r="L233" s="141"/>
      <c r="M233" s="9"/>
      <c r="N233" s="10"/>
      <c r="O233" s="9"/>
      <c r="P233" s="10"/>
      <c r="Q233" s="9"/>
      <c r="R233" s="10"/>
      <c r="S233" s="9"/>
      <c r="T233" s="10"/>
      <c r="U233" s="9"/>
      <c r="V233" s="10"/>
      <c r="W233" s="9"/>
      <c r="X233" s="10"/>
      <c r="Y233" s="9"/>
      <c r="Z233" s="10"/>
      <c r="AA233" s="9"/>
      <c r="AB233" s="10"/>
      <c r="AC233" s="9"/>
      <c r="AD233" s="10"/>
      <c r="AE233" s="9"/>
      <c r="AF233" s="10"/>
      <c r="AG233" s="9"/>
      <c r="AH233" s="10"/>
      <c r="AI233" s="4"/>
      <c r="AJ233" s="10"/>
      <c r="AK233" s="4"/>
      <c r="AL233" s="10"/>
      <c r="AM233" s="4"/>
      <c r="AN233" s="10"/>
      <c r="AO233" s="9"/>
      <c r="AP233" s="10"/>
      <c r="AQ233" s="9"/>
      <c r="AR233" s="10"/>
      <c r="AS233" s="9"/>
      <c r="AT233" s="10"/>
      <c r="AU233" s="10"/>
      <c r="AV233" s="10"/>
      <c r="AW233" s="10"/>
      <c r="AX233" s="10"/>
      <c r="AY233" s="10"/>
      <c r="AZ233" s="10"/>
      <c r="BA233" s="10"/>
      <c r="BB233" s="10"/>
      <c r="BC233" s="10"/>
      <c r="BD233" s="10"/>
      <c r="BE233" s="4"/>
      <c r="BF233" s="10"/>
      <c r="BG233" s="4"/>
      <c r="BH233" s="10"/>
      <c r="BI233" s="4"/>
      <c r="BJ233" s="10"/>
      <c r="BK233" s="4"/>
      <c r="BL233" s="10"/>
      <c r="BM233" s="4"/>
      <c r="BN233" s="10"/>
      <c r="BO233" s="4"/>
      <c r="BP233" s="10"/>
      <c r="BQ233" s="4"/>
      <c r="BR233" s="10"/>
      <c r="BS233" s="9"/>
      <c r="BT233" s="10"/>
      <c r="BU233" s="9"/>
      <c r="BV233" s="10"/>
      <c r="BW233" s="9"/>
      <c r="BX233" s="4"/>
      <c r="BY233" s="4"/>
      <c r="BZ233" s="4"/>
      <c r="CA233" s="4"/>
      <c r="CB233" s="4"/>
      <c r="CC233" s="4"/>
      <c r="CD233" s="4"/>
      <c r="CE233" s="4"/>
      <c r="CF233" s="4"/>
      <c r="CG233" s="4"/>
      <c r="CH233" s="4"/>
      <c r="CI233" s="4"/>
      <c r="CJ233" s="4"/>
      <c r="CK233" s="4"/>
      <c r="CL233" s="4"/>
      <c r="CM233" s="4"/>
      <c r="CN233" s="4"/>
      <c r="CO233" s="4"/>
      <c r="CP233" s="4"/>
      <c r="CQ233" s="4"/>
      <c r="CR233" s="4"/>
      <c r="CS233" s="4"/>
      <c r="CT233" s="4"/>
      <c r="CU233" s="4"/>
      <c r="CV233" s="4"/>
      <c r="CW233" s="4"/>
      <c r="CX233" s="4"/>
      <c r="CY233" s="4"/>
      <c r="CZ233" s="4"/>
      <c r="DA233" s="4"/>
      <c r="DB233" s="4"/>
      <c r="DC233" s="4"/>
      <c r="DD233" s="4"/>
      <c r="DE233" s="4"/>
      <c r="DF233" s="4"/>
      <c r="DG233" s="4"/>
      <c r="DH233" s="4"/>
      <c r="DI233" s="4"/>
      <c r="DJ233" s="4"/>
      <c r="DK233" s="4"/>
      <c r="DL233" s="4"/>
      <c r="DM233" s="4"/>
      <c r="DN233" s="4"/>
      <c r="DO233" s="4"/>
      <c r="DP233" s="4"/>
      <c r="DQ233" s="4"/>
      <c r="DR233" s="4"/>
      <c r="DS233" s="4"/>
      <c r="DT233" s="4"/>
    </row>
    <row r="234" spans="1:124" s="21" customFormat="1" hidden="1">
      <c r="A234" s="58"/>
      <c r="B234" s="31"/>
      <c r="J234" s="8"/>
      <c r="L234" s="141"/>
      <c r="M234" s="9"/>
      <c r="N234" s="10"/>
      <c r="O234" s="9"/>
      <c r="P234" s="10"/>
      <c r="Q234" s="9"/>
      <c r="R234" s="10"/>
      <c r="S234" s="9"/>
      <c r="T234" s="10"/>
      <c r="U234" s="9"/>
      <c r="V234" s="10"/>
      <c r="W234" s="9"/>
      <c r="X234" s="10"/>
      <c r="Y234" s="9"/>
      <c r="Z234" s="10"/>
      <c r="AA234" s="9"/>
      <c r="AB234" s="10"/>
      <c r="AC234" s="9"/>
      <c r="AD234" s="10"/>
      <c r="AE234" s="9"/>
      <c r="AF234" s="10"/>
      <c r="AG234" s="9"/>
      <c r="AH234" s="10"/>
      <c r="AI234" s="4"/>
      <c r="AJ234" s="10"/>
      <c r="AK234" s="4"/>
      <c r="AL234" s="10"/>
      <c r="AM234" s="4"/>
      <c r="AN234" s="10"/>
      <c r="AO234" s="9"/>
      <c r="AP234" s="10"/>
      <c r="AQ234" s="9"/>
      <c r="AR234" s="10"/>
      <c r="AS234" s="9"/>
      <c r="AT234" s="10"/>
      <c r="AU234" s="10"/>
      <c r="AV234" s="10"/>
      <c r="AW234" s="10"/>
      <c r="AX234" s="10"/>
      <c r="AY234" s="10"/>
      <c r="AZ234" s="10"/>
      <c r="BA234" s="10"/>
      <c r="BB234" s="10"/>
      <c r="BC234" s="10"/>
      <c r="BD234" s="10"/>
      <c r="BE234" s="4"/>
      <c r="BF234" s="10"/>
      <c r="BG234" s="4"/>
      <c r="BH234" s="10"/>
      <c r="BI234" s="4"/>
      <c r="BJ234" s="10"/>
      <c r="BK234" s="4"/>
      <c r="BL234" s="10"/>
      <c r="BM234" s="4"/>
      <c r="BN234" s="10"/>
      <c r="BO234" s="4"/>
      <c r="BP234" s="10"/>
      <c r="BQ234" s="4"/>
      <c r="BR234" s="10"/>
      <c r="BS234" s="9"/>
      <c r="BT234" s="10"/>
      <c r="BU234" s="9"/>
      <c r="BV234" s="10"/>
      <c r="BW234" s="9"/>
      <c r="BX234" s="4"/>
      <c r="BY234" s="4"/>
      <c r="BZ234" s="4"/>
      <c r="CA234" s="4"/>
      <c r="CB234" s="4"/>
      <c r="CC234" s="4"/>
      <c r="CD234" s="4"/>
      <c r="CE234" s="4"/>
      <c r="CF234" s="4"/>
      <c r="CG234" s="4"/>
      <c r="CH234" s="4"/>
      <c r="CI234" s="4"/>
      <c r="CJ234" s="4"/>
      <c r="CK234" s="4"/>
      <c r="CL234" s="4"/>
      <c r="CM234" s="4"/>
      <c r="CN234" s="4"/>
      <c r="CO234" s="4"/>
      <c r="CP234" s="4"/>
      <c r="CQ234" s="4"/>
      <c r="CR234" s="4"/>
      <c r="CS234" s="4"/>
      <c r="CT234" s="4"/>
      <c r="CU234" s="4"/>
      <c r="CV234" s="4"/>
      <c r="CW234" s="4"/>
      <c r="CX234" s="4"/>
      <c r="CY234" s="4"/>
      <c r="CZ234" s="4"/>
      <c r="DA234" s="4"/>
      <c r="DB234" s="4"/>
      <c r="DC234" s="4"/>
      <c r="DD234" s="4"/>
      <c r="DE234" s="4"/>
      <c r="DF234" s="4"/>
      <c r="DG234" s="4"/>
      <c r="DH234" s="4"/>
      <c r="DI234" s="4"/>
      <c r="DJ234" s="4"/>
      <c r="DK234" s="4"/>
      <c r="DL234" s="4"/>
      <c r="DM234" s="4"/>
      <c r="DN234" s="4"/>
      <c r="DO234" s="4"/>
      <c r="DP234" s="4"/>
      <c r="DQ234" s="4"/>
      <c r="DR234" s="4"/>
      <c r="DS234" s="4"/>
      <c r="DT234" s="4"/>
    </row>
    <row r="235" spans="1:124" s="21" customFormat="1" hidden="1">
      <c r="A235" s="58"/>
      <c r="B235" s="31"/>
      <c r="J235" s="8"/>
      <c r="L235" s="141"/>
      <c r="M235" s="9"/>
      <c r="N235" s="10"/>
      <c r="O235" s="9"/>
      <c r="P235" s="10"/>
      <c r="Q235" s="9"/>
      <c r="R235" s="10"/>
      <c r="S235" s="9"/>
      <c r="T235" s="10"/>
      <c r="U235" s="9"/>
      <c r="V235" s="10"/>
      <c r="W235" s="9"/>
      <c r="X235" s="10"/>
      <c r="Y235" s="9"/>
      <c r="Z235" s="10"/>
      <c r="AA235" s="9"/>
      <c r="AB235" s="10"/>
      <c r="AC235" s="9"/>
      <c r="AD235" s="10"/>
      <c r="AE235" s="9"/>
      <c r="AF235" s="10"/>
      <c r="AG235" s="9"/>
      <c r="AH235" s="10"/>
      <c r="AI235" s="4"/>
      <c r="AJ235" s="10"/>
      <c r="AK235" s="4"/>
      <c r="AL235" s="10"/>
      <c r="AM235" s="4"/>
      <c r="AN235" s="10"/>
      <c r="AO235" s="9"/>
      <c r="AP235" s="10"/>
      <c r="AQ235" s="9"/>
      <c r="AR235" s="10"/>
      <c r="AS235" s="9"/>
      <c r="AT235" s="10"/>
      <c r="AU235" s="10"/>
      <c r="AV235" s="10"/>
      <c r="AW235" s="10"/>
      <c r="AX235" s="10"/>
      <c r="AY235" s="10"/>
      <c r="AZ235" s="10"/>
      <c r="BA235" s="10"/>
      <c r="BB235" s="10"/>
      <c r="BC235" s="10"/>
      <c r="BD235" s="10"/>
      <c r="BE235" s="4"/>
      <c r="BF235" s="10"/>
      <c r="BG235" s="4"/>
      <c r="BH235" s="10"/>
      <c r="BI235" s="4"/>
      <c r="BJ235" s="10"/>
      <c r="BK235" s="4"/>
      <c r="BL235" s="10"/>
      <c r="BM235" s="4"/>
      <c r="BN235" s="10"/>
      <c r="BO235" s="4"/>
      <c r="BP235" s="10"/>
      <c r="BQ235" s="4"/>
      <c r="BR235" s="10"/>
      <c r="BS235" s="9"/>
      <c r="BT235" s="10"/>
      <c r="BU235" s="9"/>
      <c r="BV235" s="10"/>
      <c r="BW235" s="9"/>
      <c r="BX235" s="4"/>
      <c r="BY235" s="4"/>
      <c r="BZ235" s="4"/>
      <c r="CA235" s="4"/>
      <c r="CB235" s="4"/>
      <c r="CC235" s="4"/>
      <c r="CD235" s="4"/>
      <c r="CE235" s="4"/>
      <c r="CF235" s="4"/>
      <c r="CG235" s="4"/>
      <c r="CH235" s="4"/>
      <c r="CI235" s="4"/>
      <c r="CJ235" s="4"/>
      <c r="CK235" s="4"/>
      <c r="CL235" s="4"/>
      <c r="CM235" s="4"/>
      <c r="CN235" s="4"/>
      <c r="CO235" s="4"/>
      <c r="CP235" s="4"/>
      <c r="CQ235" s="4"/>
      <c r="CR235" s="4"/>
      <c r="CS235" s="4"/>
      <c r="CT235" s="4"/>
      <c r="CU235" s="4"/>
      <c r="CV235" s="4"/>
      <c r="CW235" s="4"/>
      <c r="CX235" s="4"/>
      <c r="CY235" s="4"/>
      <c r="CZ235" s="4"/>
      <c r="DA235" s="4"/>
      <c r="DB235" s="4"/>
      <c r="DC235" s="4"/>
      <c r="DD235" s="4"/>
      <c r="DE235" s="4"/>
      <c r="DF235" s="4"/>
      <c r="DG235" s="4"/>
      <c r="DH235" s="4"/>
      <c r="DI235" s="4"/>
      <c r="DJ235" s="4"/>
      <c r="DK235" s="4"/>
      <c r="DL235" s="4"/>
      <c r="DM235" s="4"/>
      <c r="DN235" s="4"/>
      <c r="DO235" s="4"/>
      <c r="DP235" s="4"/>
      <c r="DQ235" s="4"/>
      <c r="DR235" s="4"/>
      <c r="DS235" s="4"/>
      <c r="DT235" s="4"/>
    </row>
    <row r="236" spans="1:124" s="21" customFormat="1" hidden="1">
      <c r="A236" s="58"/>
      <c r="B236" s="31"/>
      <c r="J236" s="8"/>
      <c r="L236" s="141"/>
      <c r="M236" s="9"/>
      <c r="N236" s="10"/>
      <c r="O236" s="9"/>
      <c r="P236" s="10"/>
      <c r="Q236" s="9"/>
      <c r="R236" s="10"/>
      <c r="S236" s="9"/>
      <c r="T236" s="10"/>
      <c r="U236" s="9"/>
      <c r="V236" s="10"/>
      <c r="W236" s="9"/>
      <c r="X236" s="10"/>
      <c r="Y236" s="9"/>
      <c r="Z236" s="10"/>
      <c r="AA236" s="9"/>
      <c r="AB236" s="10"/>
      <c r="AC236" s="9"/>
      <c r="AD236" s="10"/>
      <c r="AE236" s="9"/>
      <c r="AF236" s="10"/>
      <c r="AG236" s="9"/>
      <c r="AH236" s="10"/>
      <c r="AI236" s="4"/>
      <c r="AJ236" s="10"/>
      <c r="AK236" s="4"/>
      <c r="AL236" s="10"/>
      <c r="AM236" s="4"/>
      <c r="AN236" s="10"/>
      <c r="AO236" s="9"/>
      <c r="AP236" s="10"/>
      <c r="AQ236" s="9"/>
      <c r="AR236" s="10"/>
      <c r="AS236" s="9"/>
      <c r="AT236" s="10"/>
      <c r="AU236" s="10"/>
      <c r="AV236" s="10"/>
      <c r="AW236" s="10"/>
      <c r="AX236" s="10"/>
      <c r="AY236" s="10"/>
      <c r="AZ236" s="10"/>
      <c r="BA236" s="10"/>
      <c r="BB236" s="10"/>
      <c r="BC236" s="10"/>
      <c r="BD236" s="10"/>
      <c r="BE236" s="4"/>
      <c r="BF236" s="10"/>
      <c r="BG236" s="4"/>
      <c r="BH236" s="10"/>
      <c r="BI236" s="4"/>
      <c r="BJ236" s="10"/>
      <c r="BK236" s="4"/>
      <c r="BL236" s="10"/>
      <c r="BM236" s="4"/>
      <c r="BN236" s="10"/>
      <c r="BO236" s="4"/>
      <c r="BP236" s="10"/>
      <c r="BQ236" s="4"/>
      <c r="BR236" s="10"/>
      <c r="BS236" s="9"/>
      <c r="BT236" s="10"/>
      <c r="BU236" s="9"/>
      <c r="BV236" s="10"/>
      <c r="BW236" s="9"/>
      <c r="BX236" s="4"/>
      <c r="BY236" s="4"/>
      <c r="BZ236" s="4"/>
      <c r="CA236" s="4"/>
      <c r="CB236" s="4"/>
      <c r="CC236" s="4"/>
      <c r="CD236" s="4"/>
      <c r="CE236" s="4"/>
      <c r="CF236" s="4"/>
      <c r="CG236" s="4"/>
      <c r="CH236" s="4"/>
      <c r="CI236" s="4"/>
      <c r="CJ236" s="4"/>
      <c r="CK236" s="4"/>
      <c r="CL236" s="4"/>
      <c r="CM236" s="4"/>
      <c r="CN236" s="4"/>
      <c r="CO236" s="4"/>
      <c r="CP236" s="4"/>
      <c r="CQ236" s="4"/>
      <c r="CR236" s="4"/>
      <c r="CS236" s="4"/>
      <c r="CT236" s="4"/>
      <c r="CU236" s="4"/>
      <c r="CV236" s="4"/>
      <c r="CW236" s="4"/>
      <c r="CX236" s="4"/>
      <c r="CY236" s="4"/>
      <c r="CZ236" s="4"/>
      <c r="DA236" s="4"/>
      <c r="DB236" s="4"/>
      <c r="DC236" s="4"/>
      <c r="DD236" s="4"/>
      <c r="DE236" s="4"/>
      <c r="DF236" s="4"/>
      <c r="DG236" s="4"/>
      <c r="DH236" s="4"/>
      <c r="DI236" s="4"/>
      <c r="DJ236" s="4"/>
      <c r="DK236" s="4"/>
      <c r="DL236" s="4"/>
      <c r="DM236" s="4"/>
      <c r="DN236" s="4"/>
      <c r="DO236" s="4"/>
      <c r="DP236" s="4"/>
      <c r="DQ236" s="4"/>
      <c r="DR236" s="4"/>
      <c r="DS236" s="4"/>
      <c r="DT236" s="4"/>
    </row>
    <row r="237" spans="1:124" s="21" customFormat="1" hidden="1">
      <c r="A237" s="58"/>
      <c r="B237" s="31"/>
      <c r="J237" s="8"/>
      <c r="L237" s="141"/>
      <c r="M237" s="9"/>
      <c r="N237" s="10"/>
      <c r="O237" s="9"/>
      <c r="P237" s="10"/>
      <c r="Q237" s="9"/>
      <c r="R237" s="10"/>
      <c r="S237" s="9"/>
      <c r="T237" s="10"/>
      <c r="U237" s="9"/>
      <c r="V237" s="10"/>
      <c r="W237" s="9"/>
      <c r="X237" s="10"/>
      <c r="Y237" s="9"/>
      <c r="Z237" s="10"/>
      <c r="AA237" s="9"/>
      <c r="AB237" s="10"/>
      <c r="AC237" s="9"/>
      <c r="AD237" s="10"/>
      <c r="AE237" s="9"/>
      <c r="AF237" s="10"/>
      <c r="AG237" s="9"/>
      <c r="AH237" s="10"/>
      <c r="AI237" s="4"/>
      <c r="AJ237" s="10"/>
      <c r="AK237" s="4"/>
      <c r="AL237" s="10"/>
      <c r="AM237" s="4"/>
      <c r="AN237" s="10"/>
      <c r="AO237" s="9"/>
      <c r="AP237" s="10"/>
      <c r="AQ237" s="9"/>
      <c r="AR237" s="10"/>
      <c r="AS237" s="9"/>
      <c r="AT237" s="10"/>
      <c r="AU237" s="10"/>
      <c r="AV237" s="10"/>
      <c r="AW237" s="10"/>
      <c r="AX237" s="10"/>
      <c r="AY237" s="10"/>
      <c r="AZ237" s="10"/>
      <c r="BA237" s="10"/>
      <c r="BB237" s="10"/>
      <c r="BC237" s="10"/>
      <c r="BD237" s="10"/>
      <c r="BE237" s="4"/>
      <c r="BF237" s="10"/>
      <c r="BG237" s="4"/>
      <c r="BH237" s="10"/>
      <c r="BI237" s="4"/>
      <c r="BJ237" s="10"/>
      <c r="BK237" s="4"/>
      <c r="BL237" s="10"/>
      <c r="BM237" s="4"/>
      <c r="BN237" s="10"/>
      <c r="BO237" s="4"/>
      <c r="BP237" s="10"/>
      <c r="BQ237" s="4"/>
      <c r="BR237" s="10"/>
      <c r="BS237" s="9"/>
      <c r="BT237" s="10"/>
      <c r="BU237" s="9"/>
      <c r="BV237" s="10"/>
      <c r="BW237" s="9"/>
      <c r="BX237" s="4"/>
      <c r="BY237" s="4"/>
      <c r="BZ237" s="4"/>
      <c r="CA237" s="4"/>
      <c r="CB237" s="4"/>
      <c r="CC237" s="4"/>
      <c r="CD237" s="4"/>
      <c r="CE237" s="4"/>
      <c r="CF237" s="4"/>
      <c r="CG237" s="4"/>
      <c r="CH237" s="4"/>
      <c r="CI237" s="4"/>
      <c r="CJ237" s="4"/>
      <c r="CK237" s="4"/>
      <c r="CL237" s="4"/>
      <c r="CM237" s="4"/>
      <c r="CN237" s="4"/>
      <c r="CO237" s="4"/>
      <c r="CP237" s="4"/>
      <c r="CQ237" s="4"/>
      <c r="CR237" s="4"/>
      <c r="CS237" s="4"/>
      <c r="CT237" s="4"/>
      <c r="CU237" s="4"/>
      <c r="CV237" s="4"/>
      <c r="CW237" s="4"/>
      <c r="CX237" s="4"/>
      <c r="CY237" s="4"/>
      <c r="CZ237" s="4"/>
      <c r="DA237" s="4"/>
      <c r="DB237" s="4"/>
      <c r="DC237" s="4"/>
      <c r="DD237" s="4"/>
      <c r="DE237" s="4"/>
      <c r="DF237" s="4"/>
      <c r="DG237" s="4"/>
      <c r="DH237" s="4"/>
      <c r="DI237" s="4"/>
      <c r="DJ237" s="4"/>
      <c r="DK237" s="4"/>
      <c r="DL237" s="4"/>
      <c r="DM237" s="4"/>
      <c r="DN237" s="4"/>
      <c r="DO237" s="4"/>
      <c r="DP237" s="4"/>
      <c r="DQ237" s="4"/>
      <c r="DR237" s="4"/>
      <c r="DS237" s="4"/>
      <c r="DT237" s="4"/>
    </row>
    <row r="238" spans="1:124" s="21" customFormat="1" hidden="1">
      <c r="A238" s="58"/>
      <c r="B238" s="31"/>
      <c r="J238" s="8"/>
      <c r="L238" s="141"/>
      <c r="M238" s="9"/>
      <c r="N238" s="10"/>
      <c r="O238" s="9"/>
      <c r="P238" s="10"/>
      <c r="Q238" s="9"/>
      <c r="R238" s="10"/>
      <c r="S238" s="9"/>
      <c r="T238" s="10"/>
      <c r="U238" s="9"/>
      <c r="V238" s="10"/>
      <c r="W238" s="9"/>
      <c r="X238" s="10"/>
      <c r="Y238" s="9"/>
      <c r="Z238" s="10"/>
      <c r="AA238" s="9"/>
      <c r="AB238" s="10"/>
      <c r="AC238" s="9"/>
      <c r="AD238" s="10"/>
      <c r="AE238" s="9"/>
      <c r="AF238" s="10"/>
      <c r="AG238" s="9"/>
      <c r="AH238" s="10"/>
      <c r="AI238" s="4"/>
      <c r="AJ238" s="10"/>
      <c r="AK238" s="4"/>
      <c r="AL238" s="10"/>
      <c r="AM238" s="4"/>
      <c r="AN238" s="10"/>
      <c r="AO238" s="9"/>
      <c r="AP238" s="10"/>
      <c r="AQ238" s="9"/>
      <c r="AR238" s="10"/>
      <c r="AS238" s="9"/>
      <c r="AT238" s="10"/>
      <c r="AU238" s="10"/>
      <c r="AV238" s="10"/>
      <c r="AW238" s="10"/>
      <c r="AX238" s="10"/>
      <c r="AY238" s="10"/>
      <c r="AZ238" s="10"/>
      <c r="BA238" s="10"/>
      <c r="BB238" s="10"/>
      <c r="BC238" s="10"/>
      <c r="BD238" s="10"/>
      <c r="BE238" s="4"/>
      <c r="BF238" s="10"/>
      <c r="BG238" s="4"/>
      <c r="BH238" s="10"/>
      <c r="BI238" s="4"/>
      <c r="BJ238" s="10"/>
      <c r="BK238" s="4"/>
      <c r="BL238" s="10"/>
      <c r="BM238" s="4"/>
      <c r="BN238" s="10"/>
      <c r="BO238" s="4"/>
      <c r="BP238" s="10"/>
      <c r="BQ238" s="4"/>
      <c r="BR238" s="10"/>
      <c r="BS238" s="9"/>
      <c r="BT238" s="10"/>
      <c r="BU238" s="9"/>
      <c r="BV238" s="10"/>
      <c r="BW238" s="9"/>
      <c r="BX238" s="4"/>
      <c r="BY238" s="4"/>
      <c r="BZ238" s="4"/>
      <c r="CA238" s="4"/>
      <c r="CB238" s="4"/>
      <c r="CC238" s="4"/>
      <c r="CD238" s="4"/>
      <c r="CE238" s="4"/>
      <c r="CF238" s="4"/>
      <c r="CG238" s="4"/>
      <c r="CH238" s="4"/>
      <c r="CI238" s="4"/>
      <c r="CJ238" s="4"/>
      <c r="CK238" s="4"/>
      <c r="CL238" s="4"/>
      <c r="CM238" s="4"/>
      <c r="CN238" s="4"/>
      <c r="CO238" s="4"/>
      <c r="CP238" s="4"/>
      <c r="CQ238" s="4"/>
      <c r="CR238" s="4"/>
      <c r="CS238" s="4"/>
      <c r="CT238" s="4"/>
      <c r="CU238" s="4"/>
      <c r="CV238" s="4"/>
      <c r="CW238" s="4"/>
      <c r="CX238" s="4"/>
      <c r="CY238" s="4"/>
      <c r="CZ238" s="4"/>
      <c r="DA238" s="4"/>
      <c r="DB238" s="4"/>
      <c r="DC238" s="4"/>
      <c r="DD238" s="4"/>
      <c r="DE238" s="4"/>
      <c r="DF238" s="4"/>
      <c r="DG238" s="4"/>
      <c r="DH238" s="4"/>
      <c r="DI238" s="4"/>
      <c r="DJ238" s="4"/>
      <c r="DK238" s="4"/>
      <c r="DL238" s="4"/>
      <c r="DM238" s="4"/>
      <c r="DN238" s="4"/>
      <c r="DO238" s="4"/>
      <c r="DP238" s="4"/>
      <c r="DQ238" s="4"/>
      <c r="DR238" s="4"/>
      <c r="DS238" s="4"/>
      <c r="DT238" s="4"/>
    </row>
    <row r="239" spans="1:124" s="21" customFormat="1" hidden="1">
      <c r="A239" s="58"/>
      <c r="B239" s="31"/>
      <c r="J239" s="8"/>
      <c r="L239" s="141"/>
      <c r="M239" s="9"/>
      <c r="N239" s="10"/>
      <c r="O239" s="9"/>
      <c r="P239" s="10"/>
      <c r="Q239" s="9"/>
      <c r="R239" s="10"/>
      <c r="S239" s="9"/>
      <c r="T239" s="10"/>
      <c r="U239" s="9"/>
      <c r="V239" s="10"/>
      <c r="W239" s="9"/>
      <c r="X239" s="10"/>
      <c r="Y239" s="9"/>
      <c r="Z239" s="10"/>
      <c r="AA239" s="9"/>
      <c r="AB239" s="10"/>
      <c r="AC239" s="9"/>
      <c r="AD239" s="10"/>
      <c r="AE239" s="9"/>
      <c r="AF239" s="10"/>
      <c r="AG239" s="9"/>
      <c r="AH239" s="10"/>
      <c r="AI239" s="4"/>
      <c r="AJ239" s="10"/>
      <c r="AK239" s="4"/>
      <c r="AL239" s="10"/>
      <c r="AM239" s="4"/>
      <c r="AN239" s="10"/>
      <c r="AO239" s="9"/>
      <c r="AP239" s="10"/>
      <c r="AQ239" s="9"/>
      <c r="AR239" s="10"/>
      <c r="AS239" s="9"/>
      <c r="AT239" s="10"/>
      <c r="AU239" s="10"/>
      <c r="AV239" s="10"/>
      <c r="AW239" s="10"/>
      <c r="AX239" s="10"/>
      <c r="AY239" s="10"/>
      <c r="AZ239" s="10"/>
      <c r="BA239" s="10"/>
      <c r="BB239" s="10"/>
      <c r="BC239" s="10"/>
      <c r="BD239" s="10"/>
      <c r="BE239" s="4"/>
      <c r="BF239" s="10"/>
      <c r="BG239" s="4"/>
      <c r="BH239" s="10"/>
      <c r="BI239" s="4"/>
      <c r="BJ239" s="10"/>
      <c r="BK239" s="4"/>
      <c r="BL239" s="10"/>
      <c r="BM239" s="4"/>
      <c r="BN239" s="10"/>
      <c r="BO239" s="4"/>
      <c r="BP239" s="10"/>
      <c r="BQ239" s="4"/>
      <c r="BR239" s="10"/>
      <c r="BS239" s="9"/>
      <c r="BT239" s="10"/>
      <c r="BU239" s="9"/>
      <c r="BV239" s="10"/>
      <c r="BW239" s="9"/>
      <c r="BX239" s="4"/>
      <c r="BY239" s="4"/>
      <c r="BZ239" s="4"/>
      <c r="CA239" s="4"/>
      <c r="CB239" s="4"/>
      <c r="CC239" s="4"/>
      <c r="CD239" s="4"/>
      <c r="CE239" s="4"/>
      <c r="CF239" s="4"/>
      <c r="CG239" s="4"/>
      <c r="CH239" s="4"/>
      <c r="CI239" s="4"/>
      <c r="CJ239" s="4"/>
      <c r="CK239" s="4"/>
      <c r="CL239" s="4"/>
      <c r="CM239" s="4"/>
      <c r="CN239" s="4"/>
      <c r="CO239" s="4"/>
      <c r="CP239" s="4"/>
      <c r="CQ239" s="4"/>
      <c r="CR239" s="4"/>
      <c r="CS239" s="4"/>
      <c r="CT239" s="4"/>
      <c r="CU239" s="4"/>
      <c r="CV239" s="4"/>
      <c r="CW239" s="4"/>
      <c r="CX239" s="4"/>
      <c r="CY239" s="4"/>
      <c r="CZ239" s="4"/>
      <c r="DA239" s="4"/>
      <c r="DB239" s="4"/>
      <c r="DC239" s="4"/>
      <c r="DD239" s="4"/>
      <c r="DE239" s="4"/>
      <c r="DF239" s="4"/>
      <c r="DG239" s="4"/>
      <c r="DH239" s="4"/>
      <c r="DI239" s="4"/>
      <c r="DJ239" s="4"/>
      <c r="DK239" s="4"/>
      <c r="DL239" s="4"/>
      <c r="DM239" s="4"/>
      <c r="DN239" s="4"/>
      <c r="DO239" s="4"/>
      <c r="DP239" s="4"/>
      <c r="DQ239" s="4"/>
      <c r="DR239" s="4"/>
      <c r="DS239" s="4"/>
      <c r="DT239" s="4"/>
    </row>
    <row r="240" spans="1:124" s="21" customFormat="1" hidden="1">
      <c r="A240" s="58"/>
      <c r="B240" s="31"/>
      <c r="J240" s="8"/>
      <c r="L240" s="141"/>
      <c r="M240" s="9"/>
      <c r="N240" s="10"/>
      <c r="O240" s="9"/>
      <c r="P240" s="10"/>
      <c r="Q240" s="9"/>
      <c r="R240" s="10"/>
      <c r="S240" s="9"/>
      <c r="T240" s="10"/>
      <c r="U240" s="9"/>
      <c r="V240" s="10"/>
      <c r="W240" s="9"/>
      <c r="X240" s="10"/>
      <c r="Y240" s="9"/>
      <c r="Z240" s="10"/>
      <c r="AA240" s="9"/>
      <c r="AB240" s="10"/>
      <c r="AC240" s="9"/>
      <c r="AD240" s="10"/>
      <c r="AE240" s="9"/>
      <c r="AF240" s="10"/>
      <c r="AG240" s="9"/>
      <c r="AH240" s="10"/>
      <c r="AI240" s="4"/>
      <c r="AJ240" s="10"/>
      <c r="AK240" s="4"/>
      <c r="AL240" s="10"/>
      <c r="AM240" s="4"/>
      <c r="AN240" s="10"/>
      <c r="AO240" s="9"/>
      <c r="AP240" s="10"/>
      <c r="AQ240" s="9"/>
      <c r="AR240" s="10"/>
      <c r="AS240" s="9"/>
      <c r="AT240" s="10"/>
      <c r="AU240" s="10"/>
      <c r="AV240" s="10"/>
      <c r="AW240" s="10"/>
      <c r="AX240" s="10"/>
      <c r="AY240" s="10"/>
      <c r="AZ240" s="10"/>
      <c r="BA240" s="10"/>
      <c r="BB240" s="10"/>
      <c r="BC240" s="10"/>
      <c r="BD240" s="10"/>
      <c r="BE240" s="4"/>
      <c r="BF240" s="10"/>
      <c r="BG240" s="4"/>
      <c r="BH240" s="10"/>
      <c r="BI240" s="4"/>
      <c r="BJ240" s="10"/>
      <c r="BK240" s="4"/>
      <c r="BL240" s="10"/>
      <c r="BM240" s="4"/>
      <c r="BN240" s="10"/>
      <c r="BO240" s="4"/>
      <c r="BP240" s="10"/>
      <c r="BQ240" s="4"/>
      <c r="BR240" s="10"/>
      <c r="BS240" s="9"/>
      <c r="BT240" s="10"/>
      <c r="BU240" s="9"/>
      <c r="BV240" s="10"/>
      <c r="BW240" s="9"/>
      <c r="BX240" s="4"/>
      <c r="BY240" s="4"/>
      <c r="BZ240" s="4"/>
      <c r="CA240" s="4"/>
      <c r="CB240" s="4"/>
      <c r="CC240" s="4"/>
      <c r="CD240" s="4"/>
      <c r="CE240" s="4"/>
      <c r="CF240" s="4"/>
      <c r="CG240" s="4"/>
      <c r="CH240" s="4"/>
      <c r="CI240" s="4"/>
      <c r="CJ240" s="4"/>
      <c r="CK240" s="4"/>
      <c r="CL240" s="4"/>
      <c r="CM240" s="4"/>
      <c r="CN240" s="4"/>
      <c r="CO240" s="4"/>
      <c r="CP240" s="4"/>
      <c r="CQ240" s="4"/>
      <c r="CR240" s="4"/>
      <c r="CS240" s="4"/>
      <c r="CT240" s="4"/>
      <c r="CU240" s="4"/>
      <c r="CV240" s="4"/>
      <c r="CW240" s="4"/>
      <c r="CX240" s="4"/>
      <c r="CY240" s="4"/>
      <c r="CZ240" s="4"/>
      <c r="DA240" s="4"/>
      <c r="DB240" s="4"/>
      <c r="DC240" s="4"/>
      <c r="DD240" s="4"/>
      <c r="DE240" s="4"/>
      <c r="DF240" s="4"/>
      <c r="DG240" s="4"/>
      <c r="DH240" s="4"/>
      <c r="DI240" s="4"/>
      <c r="DJ240" s="4"/>
      <c r="DK240" s="4"/>
      <c r="DL240" s="4"/>
      <c r="DM240" s="4"/>
      <c r="DN240" s="4"/>
      <c r="DO240" s="4"/>
      <c r="DP240" s="4"/>
      <c r="DQ240" s="4"/>
      <c r="DR240" s="4"/>
      <c r="DS240" s="4"/>
      <c r="DT240" s="4"/>
    </row>
    <row r="241" spans="1:124" s="21" customFormat="1" hidden="1">
      <c r="A241" s="58" t="s">
        <v>219</v>
      </c>
      <c r="B241" s="31"/>
      <c r="J241" s="8"/>
      <c r="L241" s="141" t="s">
        <v>202</v>
      </c>
      <c r="M241" s="9"/>
      <c r="N241" s="9">
        <v>0</v>
      </c>
      <c r="O241" s="9"/>
      <c r="P241" s="9">
        <f>21557+23365.91</f>
        <v>44922.91</v>
      </c>
      <c r="Q241" s="9"/>
      <c r="R241" s="9">
        <v>-6078</v>
      </c>
      <c r="S241" s="9"/>
      <c r="T241" s="9"/>
      <c r="U241" s="9"/>
      <c r="V241" s="9"/>
      <c r="W241" s="9"/>
      <c r="X241" s="9"/>
      <c r="Y241" s="9"/>
      <c r="Z241" s="9">
        <v>-21556.400000000001</v>
      </c>
      <c r="AA241" s="9"/>
      <c r="AB241" s="9">
        <f>43113+23365.91</f>
        <v>66478.91</v>
      </c>
      <c r="AC241" s="9"/>
      <c r="AD241" s="9">
        <v>-51000</v>
      </c>
      <c r="AE241" s="9"/>
      <c r="AF241" s="9"/>
      <c r="AG241" s="9"/>
      <c r="AH241" s="9"/>
      <c r="AI241" s="4"/>
      <c r="AJ241" s="9"/>
      <c r="AK241" s="4"/>
      <c r="AL241" s="9"/>
      <c r="AM241" s="4"/>
      <c r="AN241" s="9"/>
      <c r="AO241" s="9"/>
      <c r="AP241" s="9"/>
      <c r="AQ241" s="9"/>
      <c r="AR241" s="9"/>
      <c r="AS241" s="9"/>
      <c r="AT241" s="9"/>
      <c r="AU241" s="9"/>
      <c r="AV241" s="9"/>
      <c r="AW241" s="9"/>
      <c r="AX241" s="9"/>
      <c r="AY241" s="9"/>
      <c r="AZ241" s="9"/>
      <c r="BA241" s="9"/>
      <c r="BB241" s="9"/>
      <c r="BC241" s="9"/>
      <c r="BD241" s="9"/>
      <c r="BE241" s="4"/>
      <c r="BF241" s="9"/>
      <c r="BG241" s="4"/>
      <c r="BH241" s="9"/>
      <c r="BI241" s="4"/>
      <c r="BJ241" s="9"/>
      <c r="BK241" s="4"/>
      <c r="BL241" s="9"/>
      <c r="BM241" s="4"/>
      <c r="BN241" s="10">
        <f>SUM(T241:BM241)</f>
        <v>-6077.489999999998</v>
      </c>
      <c r="BO241" s="4"/>
      <c r="BP241" s="10">
        <v>0</v>
      </c>
      <c r="BQ241" s="4"/>
      <c r="BR241" s="6">
        <f>IF(+R241-BN241+BP241&gt;0,R241-BN241+BP241,0)</f>
        <v>0</v>
      </c>
      <c r="BS241" s="10"/>
      <c r="BT241" s="9">
        <f>+BN241+BR241</f>
        <v>-6077.489999999998</v>
      </c>
      <c r="BU241" s="10"/>
      <c r="BV241" s="9">
        <v>0</v>
      </c>
      <c r="BW241" s="9"/>
      <c r="BX241" s="4"/>
      <c r="BY241" s="4"/>
      <c r="BZ241" s="4"/>
      <c r="CA241" s="4"/>
      <c r="CB241" s="4"/>
      <c r="CC241" s="4"/>
      <c r="CD241" s="4"/>
      <c r="CE241" s="4"/>
      <c r="CF241" s="4"/>
      <c r="CG241" s="4"/>
      <c r="CH241" s="4"/>
      <c r="CI241" s="4"/>
      <c r="CJ241" s="4"/>
      <c r="CK241" s="4"/>
      <c r="CL241" s="4"/>
      <c r="CM241" s="4"/>
      <c r="CN241" s="4"/>
      <c r="CO241" s="4"/>
      <c r="CP241" s="4"/>
      <c r="CQ241" s="4"/>
      <c r="CR241" s="4"/>
      <c r="CS241" s="4"/>
      <c r="CT241" s="4"/>
      <c r="CU241" s="4"/>
      <c r="CV241" s="4"/>
      <c r="CW241" s="4"/>
      <c r="CX241" s="4"/>
      <c r="CY241" s="4"/>
      <c r="CZ241" s="4"/>
      <c r="DA241" s="4"/>
      <c r="DB241" s="4"/>
      <c r="DC241" s="4"/>
      <c r="DD241" s="4"/>
      <c r="DE241" s="4"/>
      <c r="DF241" s="4"/>
      <c r="DG241" s="4"/>
      <c r="DH241" s="4"/>
      <c r="DI241" s="4"/>
      <c r="DJ241" s="4"/>
      <c r="DK241" s="4"/>
      <c r="DL241" s="4"/>
      <c r="DM241" s="4"/>
      <c r="DN241" s="4"/>
      <c r="DO241" s="4"/>
      <c r="DP241" s="4"/>
      <c r="DQ241" s="4"/>
      <c r="DR241" s="4"/>
      <c r="DS241" s="4"/>
      <c r="DT241" s="4"/>
    </row>
    <row r="242" spans="1:124" s="21" customFormat="1" hidden="1">
      <c r="A242" s="58"/>
      <c r="B242" s="31"/>
      <c r="J242" s="8"/>
      <c r="L242" s="141"/>
      <c r="M242" s="9"/>
      <c r="N242" s="10"/>
      <c r="O242" s="9"/>
      <c r="P242" s="10"/>
      <c r="Q242" s="9"/>
      <c r="R242" s="10"/>
      <c r="S242" s="9"/>
      <c r="T242" s="10"/>
      <c r="U242" s="9"/>
      <c r="V242" s="10"/>
      <c r="W242" s="9"/>
      <c r="X242" s="10"/>
      <c r="Y242" s="9"/>
      <c r="Z242" s="10"/>
      <c r="AA242" s="9"/>
      <c r="AB242" s="10"/>
      <c r="AC242" s="9"/>
      <c r="AD242" s="10"/>
      <c r="AE242" s="9"/>
      <c r="AF242" s="10"/>
      <c r="AG242" s="9"/>
      <c r="AH242" s="10"/>
      <c r="AI242" s="4"/>
      <c r="AJ242" s="10"/>
      <c r="AK242" s="4"/>
      <c r="AL242" s="10"/>
      <c r="AM242" s="4"/>
      <c r="AN242" s="10"/>
      <c r="AO242" s="9"/>
      <c r="AP242" s="10"/>
      <c r="AQ242" s="9"/>
      <c r="AR242" s="10"/>
      <c r="AS242" s="9"/>
      <c r="AT242" s="10"/>
      <c r="AU242" s="10"/>
      <c r="AV242" s="10"/>
      <c r="AW242" s="10"/>
      <c r="AX242" s="10"/>
      <c r="AY242" s="10"/>
      <c r="AZ242" s="10"/>
      <c r="BA242" s="10"/>
      <c r="BB242" s="10"/>
      <c r="BC242" s="10"/>
      <c r="BD242" s="10"/>
      <c r="BE242" s="4"/>
      <c r="BF242" s="10"/>
      <c r="BG242" s="4"/>
      <c r="BH242" s="10"/>
      <c r="BI242" s="4"/>
      <c r="BJ242" s="10"/>
      <c r="BK242" s="4"/>
      <c r="BL242" s="10"/>
      <c r="BM242" s="4"/>
      <c r="BN242" s="10"/>
      <c r="BO242" s="4"/>
      <c r="BP242" s="10"/>
      <c r="BQ242" s="4"/>
      <c r="BR242" s="10"/>
      <c r="BS242" s="9"/>
      <c r="BT242" s="10"/>
      <c r="BU242" s="9"/>
      <c r="BV242" s="10"/>
      <c r="BW242" s="9"/>
      <c r="BX242" s="4"/>
      <c r="BY242" s="4"/>
      <c r="BZ242" s="4"/>
      <c r="CA242" s="4"/>
      <c r="CB242" s="4"/>
      <c r="CC242" s="4"/>
      <c r="CD242" s="4"/>
      <c r="CE242" s="4"/>
      <c r="CF242" s="4"/>
      <c r="CG242" s="4"/>
      <c r="CH242" s="4"/>
      <c r="CI242" s="4"/>
      <c r="CJ242" s="4"/>
      <c r="CK242" s="4"/>
      <c r="CL242" s="4"/>
      <c r="CM242" s="4"/>
      <c r="CN242" s="4"/>
      <c r="CO242" s="4"/>
      <c r="CP242" s="4"/>
      <c r="CQ242" s="4"/>
      <c r="CR242" s="4"/>
      <c r="CS242" s="4"/>
      <c r="CT242" s="4"/>
      <c r="CU242" s="4"/>
      <c r="CV242" s="4"/>
      <c r="CW242" s="4"/>
      <c r="CX242" s="4"/>
      <c r="CY242" s="4"/>
      <c r="CZ242" s="4"/>
      <c r="DA242" s="4"/>
      <c r="DB242" s="4"/>
      <c r="DC242" s="4"/>
      <c r="DD242" s="4"/>
      <c r="DE242" s="4"/>
      <c r="DF242" s="4"/>
      <c r="DG242" s="4"/>
      <c r="DH242" s="4"/>
      <c r="DI242" s="4"/>
      <c r="DJ242" s="4"/>
      <c r="DK242" s="4"/>
      <c r="DL242" s="4"/>
      <c r="DM242" s="4"/>
      <c r="DN242" s="4"/>
      <c r="DO242" s="4"/>
      <c r="DP242" s="4"/>
      <c r="DQ242" s="4"/>
      <c r="DR242" s="4"/>
      <c r="DS242" s="4"/>
      <c r="DT242" s="4"/>
    </row>
    <row r="243" spans="1:124" s="21" customFormat="1" hidden="1">
      <c r="A243" s="58" t="s">
        <v>315</v>
      </c>
      <c r="B243" s="31"/>
      <c r="J243" s="8"/>
      <c r="L243" s="141"/>
      <c r="M243" s="9"/>
      <c r="N243" s="10"/>
      <c r="O243" s="9"/>
      <c r="P243" s="10"/>
      <c r="Q243" s="9"/>
      <c r="R243" s="10">
        <v>0</v>
      </c>
      <c r="S243" s="9"/>
      <c r="T243" s="10"/>
      <c r="U243" s="9"/>
      <c r="V243" s="10"/>
      <c r="W243" s="9"/>
      <c r="X243" s="10"/>
      <c r="Y243" s="9"/>
      <c r="Z243" s="10"/>
      <c r="AA243" s="9"/>
      <c r="AB243" s="10">
        <v>0</v>
      </c>
      <c r="AC243" s="9"/>
      <c r="AD243" s="10">
        <v>100</v>
      </c>
      <c r="AE243" s="9"/>
      <c r="AF243" s="10"/>
      <c r="AG243" s="9"/>
      <c r="AH243" s="10"/>
      <c r="AI243" s="4"/>
      <c r="AJ243" s="10">
        <f>220+59</f>
        <v>279</v>
      </c>
      <c r="AK243" s="4"/>
      <c r="AL243" s="10">
        <v>10</v>
      </c>
      <c r="AM243" s="4"/>
      <c r="AN243" s="10"/>
      <c r="AO243" s="9"/>
      <c r="AP243" s="10">
        <v>800</v>
      </c>
      <c r="AQ243" s="9"/>
      <c r="AR243" s="10"/>
      <c r="AS243" s="9"/>
      <c r="AT243" s="10"/>
      <c r="AU243" s="10"/>
      <c r="AV243" s="10"/>
      <c r="AW243" s="10"/>
      <c r="AX243" s="10"/>
      <c r="AY243" s="10"/>
      <c r="AZ243" s="10"/>
      <c r="BA243" s="10"/>
      <c r="BB243" s="10">
        <v>100</v>
      </c>
      <c r="BC243" s="10"/>
      <c r="BD243" s="10"/>
      <c r="BE243" s="4"/>
      <c r="BF243" s="10"/>
      <c r="BG243" s="4"/>
      <c r="BH243" s="10"/>
      <c r="BI243" s="4"/>
      <c r="BJ243" s="10"/>
      <c r="BK243" s="4"/>
      <c r="BL243" s="10"/>
      <c r="BM243" s="4"/>
      <c r="BN243" s="10">
        <f>SUM(T243:BM243)</f>
        <v>1289</v>
      </c>
      <c r="BO243" s="4"/>
      <c r="BP243" s="10">
        <v>0</v>
      </c>
      <c r="BQ243" s="4"/>
      <c r="BR243" s="6">
        <f>IF(+R243-BN243+BP243&gt;0,R243-BN243+BP243,0)</f>
        <v>0</v>
      </c>
      <c r="BS243" s="9"/>
      <c r="BT243" s="9">
        <f>+BN243+BR243</f>
        <v>1289</v>
      </c>
      <c r="BU243" s="9"/>
      <c r="BV243" s="6"/>
      <c r="BW243" s="9"/>
      <c r="BX243" s="4"/>
      <c r="BY243" s="4"/>
      <c r="BZ243" s="4"/>
      <c r="CA243" s="4"/>
      <c r="CB243" s="4"/>
      <c r="CC243" s="4"/>
      <c r="CD243" s="4"/>
      <c r="CE243" s="4"/>
      <c r="CF243" s="4"/>
      <c r="CG243" s="4"/>
      <c r="CH243" s="4"/>
      <c r="CI243" s="4"/>
      <c r="CJ243" s="4"/>
      <c r="CK243" s="4"/>
      <c r="CL243" s="4"/>
      <c r="CM243" s="4"/>
      <c r="CN243" s="4"/>
      <c r="CO243" s="4"/>
      <c r="CP243" s="4"/>
      <c r="CQ243" s="4"/>
      <c r="CR243" s="4"/>
      <c r="CS243" s="4"/>
      <c r="CT243" s="4"/>
      <c r="CU243" s="4"/>
      <c r="CV243" s="4"/>
      <c r="CW243" s="4"/>
      <c r="CX243" s="4"/>
      <c r="CY243" s="4"/>
      <c r="CZ243" s="4"/>
      <c r="DA243" s="4"/>
      <c r="DB243" s="4"/>
      <c r="DC243" s="4"/>
      <c r="DD243" s="4"/>
      <c r="DE243" s="4"/>
      <c r="DF243" s="4"/>
      <c r="DG243" s="4"/>
      <c r="DH243" s="4"/>
      <c r="DI243" s="4"/>
      <c r="DJ243" s="4"/>
      <c r="DK243" s="4"/>
      <c r="DL243" s="4"/>
      <c r="DM243" s="4"/>
      <c r="DN243" s="4"/>
      <c r="DO243" s="4"/>
      <c r="DP243" s="4"/>
      <c r="DQ243" s="4"/>
      <c r="DR243" s="4"/>
      <c r="DS243" s="4"/>
      <c r="DT243" s="4"/>
    </row>
    <row r="244" spans="1:124" s="21" customFormat="1" hidden="1">
      <c r="A244" s="77" t="s">
        <v>409</v>
      </c>
      <c r="B244" s="58"/>
      <c r="J244" s="8" t="s">
        <v>0</v>
      </c>
      <c r="L244" s="141" t="s">
        <v>202</v>
      </c>
      <c r="M244" s="9"/>
      <c r="N244" s="9">
        <v>0</v>
      </c>
      <c r="O244" s="9"/>
      <c r="P244" s="9">
        <v>0</v>
      </c>
      <c r="Q244" s="9"/>
      <c r="R244" s="9">
        <v>0</v>
      </c>
      <c r="S244" s="9"/>
      <c r="T244" s="9">
        <v>0</v>
      </c>
      <c r="U244" s="9"/>
      <c r="V244" s="9">
        <v>0</v>
      </c>
      <c r="W244" s="9"/>
      <c r="X244" s="9">
        <v>0</v>
      </c>
      <c r="Y244" s="9"/>
      <c r="Z244" s="9">
        <v>0</v>
      </c>
      <c r="AA244" s="9"/>
      <c r="AB244" s="9">
        <v>0</v>
      </c>
      <c r="AC244" s="9"/>
      <c r="AD244" s="9">
        <v>0</v>
      </c>
      <c r="AE244" s="9"/>
      <c r="AF244" s="9">
        <v>0</v>
      </c>
      <c r="AG244" s="9"/>
      <c r="AH244" s="9">
        <v>0</v>
      </c>
      <c r="AI244" s="4"/>
      <c r="AJ244" s="9">
        <v>0</v>
      </c>
      <c r="AK244" s="4"/>
      <c r="AL244" s="9">
        <v>0</v>
      </c>
      <c r="AM244" s="4"/>
      <c r="AN244" s="9">
        <v>0</v>
      </c>
      <c r="AO244" s="9"/>
      <c r="AP244" s="9">
        <v>0</v>
      </c>
      <c r="AQ244" s="9"/>
      <c r="AR244" s="9">
        <v>0</v>
      </c>
      <c r="AS244" s="9"/>
      <c r="AT244" s="9">
        <v>0</v>
      </c>
      <c r="AU244" s="9"/>
      <c r="AV244" s="9">
        <v>0</v>
      </c>
      <c r="AW244" s="9"/>
      <c r="AX244" s="9">
        <v>0</v>
      </c>
      <c r="AY244" s="9"/>
      <c r="AZ244" s="9">
        <v>0</v>
      </c>
      <c r="BA244" s="9"/>
      <c r="BB244" s="9">
        <v>80000</v>
      </c>
      <c r="BC244" s="9"/>
      <c r="BD244" s="9">
        <v>0</v>
      </c>
      <c r="BE244" s="4"/>
      <c r="BF244" s="9">
        <v>0</v>
      </c>
      <c r="BG244" s="4"/>
      <c r="BH244" s="9">
        <v>0</v>
      </c>
      <c r="BI244" s="4"/>
      <c r="BJ244" s="9">
        <v>0</v>
      </c>
      <c r="BK244" s="4"/>
      <c r="BL244" s="9">
        <v>0</v>
      </c>
      <c r="BM244" s="4"/>
      <c r="BN244" s="16">
        <f>SUM(T244:BM244)</f>
        <v>80000</v>
      </c>
      <c r="BO244" s="4"/>
      <c r="BP244" s="9">
        <v>0</v>
      </c>
      <c r="BQ244" s="4"/>
      <c r="BR244" s="6">
        <f>IF(+R244-BN244+BP244&gt;0,R244-BN244+BP244,0)</f>
        <v>0</v>
      </c>
      <c r="BS244" s="9"/>
      <c r="BT244" s="9">
        <f>+BN244+BR244</f>
        <v>80000</v>
      </c>
      <c r="BU244" s="9"/>
      <c r="BV244" s="6"/>
      <c r="BW244" s="9"/>
    </row>
    <row r="245" spans="1:124" s="21" customFormat="1" hidden="1">
      <c r="A245" s="58" t="s">
        <v>266</v>
      </c>
      <c r="B245" s="31"/>
      <c r="J245" s="8"/>
      <c r="L245" s="141"/>
      <c r="M245" s="9"/>
      <c r="N245" s="10"/>
      <c r="O245" s="9"/>
      <c r="P245" s="10"/>
      <c r="Q245" s="9"/>
      <c r="R245" s="10">
        <v>-56499</v>
      </c>
      <c r="S245" s="9"/>
      <c r="T245" s="10"/>
      <c r="U245" s="9"/>
      <c r="V245" s="10"/>
      <c r="W245" s="9"/>
      <c r="X245" s="10"/>
      <c r="Y245" s="9"/>
      <c r="Z245" s="10"/>
      <c r="AA245" s="9"/>
      <c r="AB245" s="10">
        <v>-56500</v>
      </c>
      <c r="AC245" s="9"/>
      <c r="AD245" s="10">
        <f>1-35</f>
        <v>-34</v>
      </c>
      <c r="AE245" s="9"/>
      <c r="AF245" s="10">
        <v>-69954</v>
      </c>
      <c r="AG245" s="9"/>
      <c r="AH245" s="10">
        <v>-22011</v>
      </c>
      <c r="AI245" s="4"/>
      <c r="AJ245" s="10">
        <f>-861-98</f>
        <v>-959</v>
      </c>
      <c r="AK245" s="4"/>
      <c r="AL245" s="10">
        <v>-3</v>
      </c>
      <c r="AM245" s="4"/>
      <c r="AN245" s="10">
        <f>52264-47</f>
        <v>52217</v>
      </c>
      <c r="AO245" s="9"/>
      <c r="AP245" s="10">
        <f>-233-52264</f>
        <v>-52497</v>
      </c>
      <c r="AQ245" s="9"/>
      <c r="AR245" s="10"/>
      <c r="AS245" s="9"/>
      <c r="AT245" s="10"/>
      <c r="AU245" s="10"/>
      <c r="AV245" s="10"/>
      <c r="AW245" s="10"/>
      <c r="AX245" s="10"/>
      <c r="AY245" s="10"/>
      <c r="AZ245" s="10"/>
      <c r="BA245" s="10"/>
      <c r="BB245" s="10"/>
      <c r="BC245" s="10"/>
      <c r="BD245" s="10"/>
      <c r="BE245" s="4"/>
      <c r="BF245" s="10"/>
      <c r="BG245" s="4"/>
      <c r="BH245" s="10"/>
      <c r="BI245" s="4"/>
      <c r="BJ245" s="10"/>
      <c r="BK245" s="4"/>
      <c r="BL245" s="10"/>
      <c r="BM245" s="4"/>
      <c r="BN245" s="10">
        <f>SUM(T245:BM245)</f>
        <v>-149741</v>
      </c>
      <c r="BO245" s="4"/>
      <c r="BP245" s="10"/>
      <c r="BQ245" s="4"/>
      <c r="BR245" s="6">
        <v>0</v>
      </c>
      <c r="BS245" s="9"/>
      <c r="BT245" s="9">
        <f>+BN245+BR245</f>
        <v>-149741</v>
      </c>
      <c r="BU245" s="9"/>
      <c r="BV245" s="6"/>
      <c r="BW245" s="9"/>
      <c r="BX245" s="4"/>
      <c r="BY245" s="4"/>
      <c r="BZ245" s="4"/>
      <c r="CA245" s="4"/>
      <c r="CB245" s="4"/>
      <c r="CC245" s="4"/>
      <c r="CD245" s="4"/>
      <c r="CE245" s="4"/>
      <c r="CF245" s="4"/>
      <c r="CG245" s="4"/>
      <c r="CH245" s="4"/>
      <c r="CI245" s="4"/>
      <c r="CJ245" s="4"/>
      <c r="CK245" s="4"/>
      <c r="CL245" s="4"/>
      <c r="CM245" s="4"/>
      <c r="CN245" s="4"/>
      <c r="CO245" s="4"/>
      <c r="CP245" s="4"/>
      <c r="CQ245" s="4"/>
      <c r="CR245" s="4"/>
      <c r="CS245" s="4"/>
      <c r="CT245" s="4"/>
      <c r="CU245" s="4"/>
      <c r="CV245" s="4"/>
      <c r="CW245" s="4"/>
      <c r="CX245" s="4"/>
      <c r="CY245" s="4"/>
      <c r="CZ245" s="4"/>
      <c r="DA245" s="4"/>
      <c r="DB245" s="4"/>
      <c r="DC245" s="4"/>
      <c r="DD245" s="4"/>
      <c r="DE245" s="4"/>
      <c r="DF245" s="4"/>
      <c r="DG245" s="4"/>
      <c r="DH245" s="4"/>
      <c r="DI245" s="4"/>
      <c r="DJ245" s="4"/>
      <c r="DK245" s="4"/>
      <c r="DL245" s="4"/>
      <c r="DM245" s="4"/>
      <c r="DN245" s="4"/>
      <c r="DO245" s="4"/>
      <c r="DP245" s="4"/>
      <c r="DQ245" s="4"/>
      <c r="DR245" s="4"/>
      <c r="DS245" s="4"/>
      <c r="DT245" s="4"/>
    </row>
    <row r="246" spans="1:124" s="21" customFormat="1" hidden="1">
      <c r="A246" s="58"/>
      <c r="B246" s="31"/>
      <c r="J246" s="8"/>
      <c r="L246" s="141"/>
      <c r="M246" s="9"/>
      <c r="N246" s="10"/>
      <c r="O246" s="9"/>
      <c r="P246" s="10"/>
      <c r="Q246" s="9"/>
      <c r="R246" s="10"/>
      <c r="S246" s="9"/>
      <c r="T246" s="10"/>
      <c r="U246" s="9"/>
      <c r="V246" s="10"/>
      <c r="W246" s="9"/>
      <c r="X246" s="10"/>
      <c r="Y246" s="9"/>
      <c r="Z246" s="10"/>
      <c r="AA246" s="9"/>
      <c r="AB246" s="10"/>
      <c r="AC246" s="9"/>
      <c r="AD246" s="10"/>
      <c r="AE246" s="9"/>
      <c r="AF246" s="10"/>
      <c r="AG246" s="9"/>
      <c r="AH246" s="10"/>
      <c r="AI246" s="4"/>
      <c r="AJ246" s="10"/>
      <c r="AK246" s="4"/>
      <c r="AL246" s="10"/>
      <c r="AM246" s="4"/>
      <c r="AN246" s="10"/>
      <c r="AO246" s="9"/>
      <c r="AP246" s="10"/>
      <c r="AQ246" s="9"/>
      <c r="AR246" s="10"/>
      <c r="AS246" s="9"/>
      <c r="AT246" s="10"/>
      <c r="AU246" s="10"/>
      <c r="AV246" s="10"/>
      <c r="AW246" s="10"/>
      <c r="AX246" s="10"/>
      <c r="AY246" s="10"/>
      <c r="AZ246" s="10"/>
      <c r="BA246" s="10"/>
      <c r="BB246" s="10"/>
      <c r="BC246" s="10"/>
      <c r="BD246" s="10"/>
      <c r="BE246" s="4"/>
      <c r="BF246" s="10"/>
      <c r="BG246" s="4"/>
      <c r="BH246" s="10"/>
      <c r="BI246" s="4"/>
      <c r="BJ246" s="10"/>
      <c r="BK246" s="4"/>
      <c r="BL246" s="10"/>
      <c r="BM246" s="4"/>
      <c r="BN246" s="10"/>
      <c r="BO246" s="4"/>
      <c r="BP246" s="10"/>
      <c r="BQ246" s="4"/>
      <c r="BR246" s="10"/>
      <c r="BS246" s="9"/>
      <c r="BT246" s="10"/>
      <c r="BU246" s="9"/>
      <c r="BV246" s="10"/>
      <c r="BW246" s="9"/>
      <c r="BX246" s="4"/>
      <c r="BY246" s="4"/>
      <c r="BZ246" s="4"/>
      <c r="CA246" s="4"/>
      <c r="CB246" s="4"/>
      <c r="CC246" s="4"/>
      <c r="CD246" s="4"/>
      <c r="CE246" s="4"/>
      <c r="CF246" s="4"/>
      <c r="CG246" s="4"/>
      <c r="CH246" s="4"/>
      <c r="CI246" s="4"/>
      <c r="CJ246" s="4"/>
      <c r="CK246" s="4"/>
      <c r="CL246" s="4"/>
      <c r="CM246" s="4"/>
      <c r="CN246" s="4"/>
      <c r="CO246" s="4"/>
      <c r="CP246" s="4"/>
      <c r="CQ246" s="4"/>
      <c r="CR246" s="4"/>
      <c r="CS246" s="4"/>
      <c r="CT246" s="4"/>
      <c r="CU246" s="4"/>
      <c r="CV246" s="4"/>
      <c r="CW246" s="4"/>
      <c r="CX246" s="4"/>
      <c r="CY246" s="4"/>
      <c r="CZ246" s="4"/>
      <c r="DA246" s="4"/>
      <c r="DB246" s="4"/>
      <c r="DC246" s="4"/>
      <c r="DD246" s="4"/>
      <c r="DE246" s="4"/>
      <c r="DF246" s="4"/>
      <c r="DG246" s="4"/>
      <c r="DH246" s="4"/>
      <c r="DI246" s="4"/>
      <c r="DJ246" s="4"/>
      <c r="DK246" s="4"/>
      <c r="DL246" s="4"/>
      <c r="DM246" s="4"/>
      <c r="DN246" s="4"/>
      <c r="DO246" s="4"/>
      <c r="DP246" s="4"/>
      <c r="DQ246" s="4"/>
      <c r="DR246" s="4"/>
      <c r="DS246" s="4"/>
      <c r="DT246" s="4"/>
    </row>
    <row r="247" spans="1:124" s="21" customFormat="1" hidden="1">
      <c r="A247" s="58" t="s">
        <v>252</v>
      </c>
      <c r="B247" s="31"/>
      <c r="J247" s="8"/>
      <c r="L247" s="141"/>
      <c r="M247" s="9"/>
      <c r="N247" s="10"/>
      <c r="O247" s="9"/>
      <c r="P247" s="10"/>
      <c r="Q247" s="9"/>
      <c r="R247" s="10">
        <f t="shared" ref="R247:BJ247" si="39">R179+R241+R243+R245</f>
        <v>239612890.75</v>
      </c>
      <c r="S247" s="10">
        <f t="shared" si="39"/>
        <v>0</v>
      </c>
      <c r="T247" s="10">
        <f t="shared" si="39"/>
        <v>7140000</v>
      </c>
      <c r="U247" s="10">
        <f t="shared" si="39"/>
        <v>0</v>
      </c>
      <c r="V247" s="10">
        <f t="shared" si="39"/>
        <v>1297646</v>
      </c>
      <c r="W247" s="10">
        <f t="shared" si="39"/>
        <v>0</v>
      </c>
      <c r="X247" s="10">
        <f t="shared" si="39"/>
        <v>33103293</v>
      </c>
      <c r="Y247" s="10">
        <f t="shared" si="39"/>
        <v>0</v>
      </c>
      <c r="Z247" s="10">
        <f t="shared" si="39"/>
        <v>260702.6</v>
      </c>
      <c r="AA247" s="10">
        <f t="shared" si="39"/>
        <v>0</v>
      </c>
      <c r="AB247" s="10">
        <f t="shared" si="39"/>
        <v>1731995.91</v>
      </c>
      <c r="AC247" s="10">
        <f t="shared" si="39"/>
        <v>0</v>
      </c>
      <c r="AD247" s="10">
        <f t="shared" si="39"/>
        <v>18794262.829999998</v>
      </c>
      <c r="AE247" s="10"/>
      <c r="AF247" s="10">
        <f t="shared" si="39"/>
        <v>8167701.1408541668</v>
      </c>
      <c r="AG247" s="10"/>
      <c r="AH247" s="10">
        <f t="shared" si="39"/>
        <v>8849219.9374601822</v>
      </c>
      <c r="AI247" s="4"/>
      <c r="AJ247" s="10">
        <f>AJ179+AJ241+AJ243+AJ245</f>
        <v>6988530.1253887061</v>
      </c>
      <c r="AK247" s="4"/>
      <c r="AL247" s="10">
        <f t="shared" si="39"/>
        <v>7789238.1557027698</v>
      </c>
      <c r="AM247" s="4"/>
      <c r="AN247" s="10">
        <f t="shared" si="39"/>
        <v>11652992.180000002</v>
      </c>
      <c r="AO247" s="10">
        <f t="shared" si="39"/>
        <v>0</v>
      </c>
      <c r="AP247" s="10">
        <f t="shared" si="39"/>
        <v>17627423.913877048</v>
      </c>
      <c r="AQ247" s="10">
        <f t="shared" si="39"/>
        <v>0</v>
      </c>
      <c r="AR247" s="10">
        <f t="shared" si="39"/>
        <v>39304333.695295267</v>
      </c>
      <c r="AS247" s="10">
        <f t="shared" si="39"/>
        <v>0</v>
      </c>
      <c r="AT247" s="10">
        <f t="shared" si="39"/>
        <v>2943898.2559045074</v>
      </c>
      <c r="AU247" s="10">
        <f t="shared" si="39"/>
        <v>0</v>
      </c>
      <c r="AV247" s="10">
        <f t="shared" si="39"/>
        <v>29327061.258771211</v>
      </c>
      <c r="AW247" s="10">
        <f t="shared" si="39"/>
        <v>0</v>
      </c>
      <c r="AX247" s="10">
        <f t="shared" si="39"/>
        <v>23466763.284490943</v>
      </c>
      <c r="AY247" s="10">
        <f t="shared" si="39"/>
        <v>0</v>
      </c>
      <c r="AZ247" s="10">
        <f t="shared" si="39"/>
        <v>22126233.530000001</v>
      </c>
      <c r="BA247" s="10">
        <f t="shared" si="39"/>
        <v>0</v>
      </c>
      <c r="BB247" s="10">
        <f>BB179+BB241+BB243+BB245+BB244</f>
        <v>8493040.5109472163</v>
      </c>
      <c r="BC247" s="10"/>
      <c r="BD247" s="10">
        <f t="shared" si="39"/>
        <v>11834996.67</v>
      </c>
      <c r="BE247" s="4"/>
      <c r="BF247" s="10">
        <f t="shared" si="39"/>
        <v>1350600.65</v>
      </c>
      <c r="BG247" s="4"/>
      <c r="BH247" s="10">
        <f t="shared" si="39"/>
        <v>401728.88999999996</v>
      </c>
      <c r="BI247" s="4"/>
      <c r="BJ247" s="10">
        <f t="shared" si="39"/>
        <v>5162294</v>
      </c>
      <c r="BK247" s="4"/>
      <c r="BL247" s="10">
        <f>BL179+BL241+BL243+BL245</f>
        <v>245540</v>
      </c>
      <c r="BM247" s="4"/>
      <c r="BN247" s="10">
        <f>BN179+BN241+BN243+BN245+BN244</f>
        <v>268059496.53869203</v>
      </c>
      <c r="BO247" s="4"/>
      <c r="BP247" s="10">
        <f t="shared" ref="BP247:BV247" si="40">BP179+BP241+BP243+BP245+BP244</f>
        <v>30419518.490000002</v>
      </c>
      <c r="BQ247" s="4"/>
      <c r="BR247" s="10">
        <f t="shared" si="40"/>
        <v>2715759.5761786527</v>
      </c>
      <c r="BS247" s="10">
        <f t="shared" si="40"/>
        <v>2030320</v>
      </c>
      <c r="BT247" s="10">
        <f t="shared" si="40"/>
        <v>270784956.11487067</v>
      </c>
      <c r="BU247" s="10">
        <f t="shared" si="40"/>
        <v>2030320</v>
      </c>
      <c r="BV247" s="10">
        <f t="shared" si="40"/>
        <v>-31184017.85487067</v>
      </c>
      <c r="BW247" s="9"/>
      <c r="BX247" s="4"/>
      <c r="BY247" s="4"/>
      <c r="BZ247" s="4"/>
      <c r="CA247" s="4"/>
      <c r="CB247" s="4"/>
      <c r="CC247" s="4"/>
      <c r="CD247" s="4"/>
      <c r="CE247" s="4"/>
      <c r="CF247" s="4"/>
      <c r="CG247" s="4"/>
      <c r="CH247" s="4"/>
      <c r="CI247" s="4"/>
      <c r="CJ247" s="4"/>
      <c r="CK247" s="4"/>
      <c r="CL247" s="4"/>
      <c r="CM247" s="4"/>
      <c r="CN247" s="4"/>
      <c r="CO247" s="4"/>
      <c r="CP247" s="4"/>
      <c r="CQ247" s="4"/>
      <c r="CR247" s="4"/>
      <c r="CS247" s="4"/>
      <c r="CT247" s="4"/>
      <c r="CU247" s="4"/>
      <c r="CV247" s="4"/>
      <c r="CW247" s="4"/>
      <c r="CX247" s="4"/>
      <c r="CY247" s="4"/>
      <c r="CZ247" s="4"/>
      <c r="DA247" s="4"/>
      <c r="DB247" s="4"/>
      <c r="DC247" s="4"/>
      <c r="DD247" s="4"/>
      <c r="DE247" s="4"/>
      <c r="DF247" s="4"/>
      <c r="DG247" s="4"/>
      <c r="DH247" s="4"/>
      <c r="DI247" s="4"/>
      <c r="DJ247" s="4"/>
      <c r="DK247" s="4"/>
      <c r="DL247" s="4"/>
      <c r="DM247" s="4"/>
      <c r="DN247" s="4"/>
      <c r="DO247" s="4"/>
      <c r="DP247" s="4"/>
      <c r="DQ247" s="4"/>
      <c r="DR247" s="4"/>
      <c r="DS247" s="4"/>
      <c r="DT247" s="4"/>
    </row>
    <row r="248" spans="1:124" s="21" customFormat="1" hidden="1">
      <c r="A248" s="58"/>
      <c r="B248" s="31"/>
      <c r="J248" s="8"/>
      <c r="L248" s="141"/>
      <c r="M248" s="9"/>
      <c r="N248" s="10"/>
      <c r="O248" s="9"/>
      <c r="P248" s="10"/>
      <c r="Q248" s="9"/>
      <c r="R248" s="10"/>
      <c r="S248" s="9"/>
      <c r="T248" s="10"/>
      <c r="U248" s="9"/>
      <c r="V248" s="10"/>
      <c r="W248" s="9"/>
      <c r="X248" s="10"/>
      <c r="Y248" s="9"/>
      <c r="Z248" s="10"/>
      <c r="AA248" s="9"/>
      <c r="AB248" s="10"/>
      <c r="AC248" s="9"/>
      <c r="AD248" s="10"/>
      <c r="AE248" s="9"/>
      <c r="AF248" s="10"/>
      <c r="AG248" s="9"/>
      <c r="AH248" s="39"/>
      <c r="AI248" s="4"/>
      <c r="AJ248" s="10"/>
      <c r="AK248" s="4"/>
      <c r="AL248" s="10"/>
      <c r="AM248" s="4"/>
      <c r="AN248" s="10"/>
      <c r="AO248" s="9"/>
      <c r="AP248" s="10"/>
      <c r="AQ248" s="9"/>
      <c r="AR248" s="10"/>
      <c r="AS248" s="9"/>
      <c r="AT248" s="10"/>
      <c r="AU248" s="10"/>
      <c r="AV248" s="10"/>
      <c r="AW248" s="10"/>
      <c r="AX248" s="10"/>
      <c r="AY248" s="10"/>
      <c r="AZ248" s="10"/>
      <c r="BA248" s="10"/>
      <c r="BB248" s="10"/>
      <c r="BC248" s="10"/>
      <c r="BD248" s="10"/>
      <c r="BE248" s="4"/>
      <c r="BF248" s="10"/>
      <c r="BG248" s="4"/>
      <c r="BH248" s="10"/>
      <c r="BI248" s="4"/>
      <c r="BJ248" s="10"/>
      <c r="BK248" s="4"/>
      <c r="BL248" s="10"/>
      <c r="BM248" s="4"/>
      <c r="BN248" s="10"/>
      <c r="BO248" s="4"/>
      <c r="BP248" s="10"/>
      <c r="BQ248" s="4"/>
      <c r="BR248" s="10"/>
      <c r="BS248" s="9"/>
      <c r="BT248" s="10"/>
      <c r="BU248" s="9"/>
      <c r="BV248" s="10"/>
      <c r="BW248" s="9"/>
      <c r="BX248" s="4"/>
      <c r="BY248" s="4"/>
      <c r="BZ248" s="4"/>
      <c r="CA248" s="4"/>
      <c r="CB248" s="4"/>
      <c r="CC248" s="4"/>
      <c r="CD248" s="4"/>
      <c r="CE248" s="4"/>
      <c r="CF248" s="4"/>
      <c r="CG248" s="4"/>
      <c r="CH248" s="4"/>
      <c r="CI248" s="4"/>
      <c r="CJ248" s="4"/>
      <c r="CK248" s="4"/>
      <c r="CL248" s="4"/>
      <c r="CM248" s="4"/>
      <c r="CN248" s="4"/>
      <c r="CO248" s="4"/>
      <c r="CP248" s="4"/>
      <c r="CQ248" s="4"/>
      <c r="CR248" s="4"/>
      <c r="CS248" s="4"/>
      <c r="CT248" s="4"/>
      <c r="CU248" s="4"/>
      <c r="CV248" s="4"/>
      <c r="CW248" s="4"/>
      <c r="CX248" s="4"/>
      <c r="CY248" s="4"/>
      <c r="CZ248" s="4"/>
      <c r="DA248" s="4"/>
      <c r="DB248" s="4"/>
      <c r="DC248" s="4"/>
      <c r="DD248" s="4"/>
      <c r="DE248" s="4"/>
      <c r="DF248" s="4"/>
      <c r="DG248" s="4"/>
      <c r="DH248" s="4"/>
      <c r="DI248" s="4"/>
      <c r="DJ248" s="4"/>
      <c r="DK248" s="4"/>
      <c r="DL248" s="4"/>
      <c r="DM248" s="4"/>
      <c r="DN248" s="4"/>
      <c r="DO248" s="4"/>
      <c r="DP248" s="4"/>
      <c r="DQ248" s="4"/>
      <c r="DR248" s="4"/>
      <c r="DS248" s="4"/>
      <c r="DT248" s="4"/>
    </row>
    <row r="249" spans="1:124" hidden="1">
      <c r="E249" s="4"/>
      <c r="G249" s="4"/>
      <c r="I249" s="4"/>
      <c r="L249" s="138"/>
      <c r="M249" s="6"/>
      <c r="O249" s="6"/>
      <c r="Q249" s="6"/>
      <c r="S249" s="6"/>
      <c r="T249" s="6"/>
      <c r="U249" s="6"/>
      <c r="V249" s="6"/>
      <c r="X249" s="6"/>
      <c r="Z249" s="6"/>
      <c r="AB249" s="6"/>
      <c r="AD249" s="6"/>
      <c r="AH249" s="10"/>
      <c r="AI249" s="4"/>
      <c r="AJ249" s="10"/>
      <c r="BJ249" s="6"/>
      <c r="BL249" s="6"/>
      <c r="BP249" s="6"/>
      <c r="BW249" s="6"/>
    </row>
    <row r="250" spans="1:124" ht="15.75" hidden="1">
      <c r="A250" s="284" t="s">
        <v>196</v>
      </c>
      <c r="B250" s="130"/>
      <c r="C250" s="130"/>
      <c r="D250" s="130"/>
      <c r="E250" s="130"/>
      <c r="F250" s="130"/>
      <c r="G250" s="130"/>
      <c r="H250" s="130"/>
      <c r="I250" s="130"/>
      <c r="J250" s="290"/>
      <c r="K250" s="130"/>
      <c r="L250" s="291"/>
      <c r="M250" s="131"/>
      <c r="N250" s="131"/>
      <c r="O250" s="131"/>
      <c r="P250" s="131"/>
      <c r="Q250" s="131"/>
      <c r="R250" s="131"/>
      <c r="S250" s="131"/>
      <c r="T250" s="131"/>
      <c r="U250" s="131"/>
      <c r="V250" s="131"/>
      <c r="W250" s="131"/>
      <c r="X250" s="131"/>
      <c r="Y250" s="131"/>
      <c r="Z250" s="131"/>
      <c r="AA250" s="131"/>
      <c r="AB250" s="131"/>
      <c r="AC250" s="131"/>
      <c r="AD250" s="131"/>
      <c r="AE250" s="131"/>
      <c r="AF250" s="131"/>
      <c r="AG250" s="131"/>
      <c r="AH250" s="131"/>
      <c r="AI250" s="4"/>
      <c r="AJ250" s="131"/>
      <c r="AL250" s="131"/>
      <c r="AN250" s="131"/>
      <c r="AO250" s="131"/>
      <c r="AP250" s="131"/>
      <c r="AQ250" s="131"/>
      <c r="AR250" s="131"/>
      <c r="AS250" s="131"/>
      <c r="AT250" s="131"/>
      <c r="AU250" s="131"/>
      <c r="AV250" s="131"/>
      <c r="AW250" s="131"/>
      <c r="AX250" s="131"/>
      <c r="AY250" s="131"/>
      <c r="AZ250" s="131"/>
      <c r="BA250" s="131"/>
      <c r="BB250" s="131"/>
      <c r="BC250" s="131"/>
      <c r="BD250" s="131"/>
      <c r="BF250" s="131"/>
      <c r="BH250" s="131"/>
      <c r="BJ250" s="131"/>
      <c r="BL250" s="131"/>
      <c r="BN250" s="131"/>
      <c r="BP250" s="131"/>
      <c r="BR250" s="131"/>
      <c r="BS250" s="131"/>
      <c r="BT250" s="13"/>
      <c r="BU250" s="131"/>
      <c r="BV250" s="131"/>
      <c r="BW250" s="131"/>
    </row>
    <row r="251" spans="1:124" hidden="1">
      <c r="A251" s="58" t="s">
        <v>32</v>
      </c>
      <c r="E251" s="4"/>
      <c r="G251" s="4"/>
      <c r="I251" s="4"/>
      <c r="L251" s="138" t="s">
        <v>203</v>
      </c>
      <c r="M251" s="6"/>
      <c r="N251" s="6">
        <v>0</v>
      </c>
      <c r="O251" s="6"/>
      <c r="P251" s="6">
        <v>220000</v>
      </c>
      <c r="Q251" s="6"/>
      <c r="R251" s="9"/>
      <c r="S251" s="6"/>
      <c r="T251" s="22"/>
      <c r="U251" s="6"/>
      <c r="V251" s="22"/>
      <c r="X251" s="22">
        <f>982.5+18746.43</f>
        <v>19728.93</v>
      </c>
      <c r="Z251" s="22">
        <v>0</v>
      </c>
      <c r="AB251" s="22"/>
      <c r="AD251" s="22">
        <v>12698.23</v>
      </c>
      <c r="AF251" s="22"/>
      <c r="AH251" s="22">
        <f>5134.27+591.18</f>
        <v>5725.4500000000007</v>
      </c>
      <c r="AI251" s="4"/>
      <c r="AJ251" s="22"/>
      <c r="AL251" s="22">
        <v>591.45000000000005</v>
      </c>
      <c r="AN251" s="22"/>
      <c r="AP251" s="22"/>
      <c r="AR251" s="22">
        <v>1242.3</v>
      </c>
      <c r="AT251" s="22"/>
      <c r="AU251" s="22"/>
      <c r="AV251" s="22"/>
      <c r="AW251" s="22"/>
      <c r="AX251" s="22"/>
      <c r="AY251" s="22"/>
      <c r="AZ251" s="22"/>
      <c r="BA251" s="22"/>
      <c r="BB251" s="22"/>
      <c r="BC251" s="22"/>
      <c r="BD251" s="22"/>
      <c r="BF251" s="22"/>
      <c r="BH251" s="22"/>
      <c r="BJ251" s="22"/>
      <c r="BL251" s="22"/>
      <c r="BN251" s="9">
        <f t="shared" ref="BN251:BN256" si="41">SUM(T251:BM251)</f>
        <v>39986.36</v>
      </c>
      <c r="BP251" s="22"/>
      <c r="BR251" s="6">
        <f>IF(+R251-BN251+BP251&gt;0,R251-BN251+BP251,0)</f>
        <v>0</v>
      </c>
      <c r="BT251" s="9">
        <f t="shared" ref="BT251:BT256" si="42">+BR251+BN251</f>
        <v>39986.36</v>
      </c>
      <c r="BV251" s="9">
        <v>0</v>
      </c>
      <c r="BW251" s="6"/>
    </row>
    <row r="252" spans="1:124" hidden="1">
      <c r="A252" s="58" t="s">
        <v>33</v>
      </c>
      <c r="E252" s="4"/>
      <c r="G252" s="4"/>
      <c r="I252" s="4"/>
      <c r="L252" s="138" t="s">
        <v>203</v>
      </c>
      <c r="M252" s="6"/>
      <c r="N252" s="6">
        <v>0</v>
      </c>
      <c r="O252" s="6"/>
      <c r="P252" s="6">
        <v>30000</v>
      </c>
      <c r="Q252" s="6"/>
      <c r="R252" s="9"/>
      <c r="S252" s="6"/>
      <c r="T252" s="22"/>
      <c r="U252" s="6"/>
      <c r="V252" s="22">
        <v>1342.96</v>
      </c>
      <c r="X252" s="22">
        <f>24234.66+4681.29</f>
        <v>28915.95</v>
      </c>
      <c r="Z252" s="22">
        <f>18740.38+287.37+30.79+269.69</f>
        <v>19328.23</v>
      </c>
      <c r="AB252" s="22">
        <v>567.63</v>
      </c>
      <c r="AD252" s="22">
        <f>558.5+6000+11878.22+34085.81+15896.29</f>
        <v>68418.820000000007</v>
      </c>
      <c r="AF252" s="22"/>
      <c r="AH252" s="22"/>
      <c r="AI252" s="4"/>
      <c r="AJ252" s="22"/>
      <c r="AL252" s="22"/>
      <c r="AN252" s="22"/>
      <c r="AP252" s="22"/>
      <c r="AR252" s="22"/>
      <c r="AT252" s="22"/>
      <c r="AU252" s="22"/>
      <c r="AV252" s="22"/>
      <c r="AW252" s="22"/>
      <c r="AX252" s="22"/>
      <c r="AY252" s="22"/>
      <c r="AZ252" s="22"/>
      <c r="BA252" s="22"/>
      <c r="BB252" s="22"/>
      <c r="BC252" s="22"/>
      <c r="BD252" s="22"/>
      <c r="BF252" s="22"/>
      <c r="BH252" s="22"/>
      <c r="BJ252" s="22"/>
      <c r="BL252" s="22"/>
      <c r="BN252" s="9">
        <f t="shared" si="41"/>
        <v>118573.59</v>
      </c>
      <c r="BP252" s="22"/>
      <c r="BR252" s="6">
        <f>IF(+R252-BN252+BP252&gt;0,R252-BN252+BP252,0)</f>
        <v>0</v>
      </c>
      <c r="BT252" s="9">
        <f t="shared" si="42"/>
        <v>118573.59</v>
      </c>
      <c r="BV252" s="9">
        <v>0</v>
      </c>
      <c r="BW252" s="6"/>
    </row>
    <row r="253" spans="1:124" hidden="1">
      <c r="A253" s="58" t="s">
        <v>35</v>
      </c>
      <c r="E253" s="4"/>
      <c r="G253" s="4"/>
      <c r="I253" s="4"/>
      <c r="L253" s="138" t="s">
        <v>203</v>
      </c>
      <c r="M253" s="6"/>
      <c r="N253" s="6">
        <v>0</v>
      </c>
      <c r="O253" s="6"/>
      <c r="P253" s="6">
        <v>35000</v>
      </c>
      <c r="Q253" s="6"/>
      <c r="R253" s="9"/>
      <c r="S253" s="6"/>
      <c r="T253" s="22">
        <v>52133</v>
      </c>
      <c r="U253" s="6"/>
      <c r="V253" s="22"/>
      <c r="X253" s="22"/>
      <c r="Z253" s="22"/>
      <c r="AB253" s="22">
        <v>1331.32</v>
      </c>
      <c r="AD253" s="22"/>
      <c r="AF253" s="22"/>
      <c r="AH253" s="22"/>
      <c r="AI253" s="4"/>
      <c r="AJ253" s="22"/>
      <c r="AL253" s="22"/>
      <c r="AN253" s="22"/>
      <c r="AP253" s="22"/>
      <c r="AR253" s="22"/>
      <c r="AT253" s="22"/>
      <c r="AU253" s="22"/>
      <c r="AV253" s="22"/>
      <c r="AW253" s="22"/>
      <c r="AX253" s="22"/>
      <c r="AY253" s="22"/>
      <c r="AZ253" s="22"/>
      <c r="BA253" s="22"/>
      <c r="BB253" s="22"/>
      <c r="BC253" s="22"/>
      <c r="BD253" s="22"/>
      <c r="BF253" s="22"/>
      <c r="BH253" s="22"/>
      <c r="BJ253" s="22"/>
      <c r="BL253" s="22"/>
      <c r="BN253" s="9">
        <f t="shared" si="41"/>
        <v>53464.32</v>
      </c>
      <c r="BP253" s="22"/>
      <c r="BR253" s="6">
        <f>IF(+R253-BN253+BP253&gt;0,R253-BN253+BP253,0)</f>
        <v>0</v>
      </c>
      <c r="BT253" s="9">
        <f t="shared" si="42"/>
        <v>53464.32</v>
      </c>
      <c r="BV253" s="9">
        <v>0</v>
      </c>
      <c r="BW253" s="6"/>
    </row>
    <row r="254" spans="1:124" hidden="1">
      <c r="A254" s="31" t="s">
        <v>198</v>
      </c>
      <c r="E254" s="4"/>
      <c r="G254" s="4"/>
      <c r="I254" s="4"/>
      <c r="L254" s="138" t="s">
        <v>203</v>
      </c>
      <c r="M254" s="6"/>
      <c r="N254" s="6">
        <v>0</v>
      </c>
      <c r="O254" s="6"/>
      <c r="P254" s="6">
        <v>20000</v>
      </c>
      <c r="Q254" s="6"/>
      <c r="R254" s="9"/>
      <c r="S254" s="6"/>
      <c r="T254" s="22">
        <v>87500</v>
      </c>
      <c r="U254" s="6"/>
      <c r="V254" s="22"/>
      <c r="X254" s="22"/>
      <c r="Z254" s="22"/>
      <c r="AB254" s="22"/>
      <c r="AD254" s="22"/>
      <c r="AF254" s="22"/>
      <c r="AH254" s="22"/>
      <c r="AI254" s="4"/>
      <c r="AJ254" s="22"/>
      <c r="AL254" s="22"/>
      <c r="AN254" s="22"/>
      <c r="AP254" s="22"/>
      <c r="AR254" s="22"/>
      <c r="AT254" s="22"/>
      <c r="AU254" s="22"/>
      <c r="AV254" s="22"/>
      <c r="AW254" s="22"/>
      <c r="AX254" s="22">
        <v>15000</v>
      </c>
      <c r="AY254" s="22"/>
      <c r="AZ254" s="22"/>
      <c r="BA254" s="22"/>
      <c r="BB254" s="22"/>
      <c r="BC254" s="22"/>
      <c r="BD254" s="22"/>
      <c r="BF254" s="22"/>
      <c r="BH254" s="22"/>
      <c r="BJ254" s="22"/>
      <c r="BL254" s="22"/>
      <c r="BN254" s="9">
        <f t="shared" si="41"/>
        <v>102500</v>
      </c>
      <c r="BP254" s="22"/>
      <c r="BR254" s="6">
        <f>IF(+R254-BN254+BP254&gt;0,R254-BN254+BP254,0)</f>
        <v>0</v>
      </c>
      <c r="BT254" s="9">
        <f t="shared" si="42"/>
        <v>102500</v>
      </c>
      <c r="BV254" s="9">
        <v>0</v>
      </c>
      <c r="BW254" s="6"/>
    </row>
    <row r="255" spans="1:124" hidden="1">
      <c r="E255" s="4"/>
      <c r="G255" s="4"/>
      <c r="I255" s="4"/>
      <c r="J255" s="4"/>
      <c r="L255" s="4"/>
      <c r="N255" s="4"/>
      <c r="P255" s="4"/>
      <c r="R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L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  <c r="AX255" s="4"/>
      <c r="AY255" s="4"/>
      <c r="AZ255" s="4"/>
      <c r="BA255" s="4"/>
      <c r="BB255" s="4"/>
      <c r="BC255" s="4"/>
      <c r="BD255" s="4"/>
      <c r="BF255" s="4"/>
      <c r="BH255" s="4"/>
      <c r="BJ255" s="4"/>
      <c r="BL255" s="4"/>
      <c r="BN255" s="4"/>
      <c r="BP255" s="4"/>
      <c r="BR255" s="6">
        <f>IF(+R255-BN255+BP255&gt;0,R255-BN255+BP255,0)</f>
        <v>0</v>
      </c>
      <c r="BS255" s="4"/>
      <c r="BT255" s="4"/>
      <c r="BU255" s="4"/>
      <c r="BV255" s="4"/>
    </row>
    <row r="256" spans="1:124" s="105" customFormat="1" ht="13.5" hidden="1" thickBot="1">
      <c r="A256" s="285" t="s">
        <v>197</v>
      </c>
      <c r="B256" s="54"/>
      <c r="J256" s="155"/>
      <c r="L256" s="142"/>
      <c r="M256" s="13"/>
      <c r="N256" s="121">
        <f>SUM(N251:N255)</f>
        <v>0</v>
      </c>
      <c r="O256" s="13"/>
      <c r="P256" s="121">
        <f>SUM(P251:P255)</f>
        <v>305000</v>
      </c>
      <c r="Q256" s="13"/>
      <c r="R256" s="121">
        <f>SUM(R251:R255)</f>
        <v>0</v>
      </c>
      <c r="S256" s="13"/>
      <c r="T256" s="121">
        <f>SUM(T251:T255)</f>
        <v>139633</v>
      </c>
      <c r="U256" s="120"/>
      <c r="V256" s="121">
        <f>SUM(V251:V255)</f>
        <v>1342.96</v>
      </c>
      <c r="W256" s="120"/>
      <c r="X256" s="121">
        <f>SUM(X251:X255)</f>
        <v>48644.880000000005</v>
      </c>
      <c r="Y256" s="120"/>
      <c r="Z256" s="121">
        <f>SUM(Z251:Z255)</f>
        <v>19328.23</v>
      </c>
      <c r="AA256" s="121">
        <f>SUM(AA251:AA255)</f>
        <v>0</v>
      </c>
      <c r="AB256" s="121">
        <f>SUM(AB251:AB255)</f>
        <v>1898.9499999999998</v>
      </c>
      <c r="AC256" s="121">
        <f>SUM(AC251:AC255)</f>
        <v>0</v>
      </c>
      <c r="AD256" s="121">
        <f>SUM(AD251:AD255)</f>
        <v>81117.05</v>
      </c>
      <c r="AE256" s="121"/>
      <c r="AF256" s="121">
        <f t="shared" ref="AF256:BL256" si="43">SUM(AF251:AF255)</f>
        <v>0</v>
      </c>
      <c r="AG256" s="121"/>
      <c r="AH256" s="121">
        <f t="shared" si="43"/>
        <v>5725.4500000000007</v>
      </c>
      <c r="AI256" s="121"/>
      <c r="AJ256" s="121">
        <f t="shared" si="43"/>
        <v>0</v>
      </c>
      <c r="AK256" s="4"/>
      <c r="AL256" s="121">
        <f t="shared" si="43"/>
        <v>591.45000000000005</v>
      </c>
      <c r="AM256" s="4"/>
      <c r="AN256" s="121">
        <f t="shared" si="43"/>
        <v>0</v>
      </c>
      <c r="AO256" s="121">
        <f t="shared" si="43"/>
        <v>0</v>
      </c>
      <c r="AP256" s="121">
        <f t="shared" si="43"/>
        <v>0</v>
      </c>
      <c r="AQ256" s="121">
        <f t="shared" si="43"/>
        <v>0</v>
      </c>
      <c r="AR256" s="121">
        <f t="shared" si="43"/>
        <v>1242.3</v>
      </c>
      <c r="AS256" s="121">
        <f t="shared" si="43"/>
        <v>0</v>
      </c>
      <c r="AT256" s="121">
        <f t="shared" si="43"/>
        <v>0</v>
      </c>
      <c r="AU256" s="121">
        <f t="shared" si="43"/>
        <v>0</v>
      </c>
      <c r="AV256" s="121">
        <f t="shared" si="43"/>
        <v>0</v>
      </c>
      <c r="AW256" s="121">
        <f t="shared" si="43"/>
        <v>0</v>
      </c>
      <c r="AX256" s="121">
        <f t="shared" si="43"/>
        <v>15000</v>
      </c>
      <c r="AY256" s="121">
        <f t="shared" si="43"/>
        <v>0</v>
      </c>
      <c r="AZ256" s="121">
        <f t="shared" si="43"/>
        <v>0</v>
      </c>
      <c r="BA256" s="121">
        <f t="shared" si="43"/>
        <v>0</v>
      </c>
      <c r="BB256" s="121">
        <f t="shared" si="43"/>
        <v>0</v>
      </c>
      <c r="BC256" s="121"/>
      <c r="BD256" s="121">
        <f t="shared" si="43"/>
        <v>0</v>
      </c>
      <c r="BE256" s="4"/>
      <c r="BF256" s="121">
        <f t="shared" si="43"/>
        <v>0</v>
      </c>
      <c r="BG256" s="4"/>
      <c r="BH256" s="121">
        <f t="shared" si="43"/>
        <v>0</v>
      </c>
      <c r="BI256" s="4"/>
      <c r="BJ256" s="121">
        <f t="shared" si="43"/>
        <v>0</v>
      </c>
      <c r="BK256" s="4"/>
      <c r="BL256" s="121">
        <f t="shared" si="43"/>
        <v>0</v>
      </c>
      <c r="BM256" s="4"/>
      <c r="BN256" s="121">
        <f t="shared" si="41"/>
        <v>314524.27</v>
      </c>
      <c r="BO256" s="4"/>
      <c r="BP256" s="121"/>
      <c r="BQ256" s="4"/>
      <c r="BR256" s="121">
        <f>SUM(BR250:BR255)</f>
        <v>0</v>
      </c>
      <c r="BS256" s="13"/>
      <c r="BT256" s="121">
        <f t="shared" si="42"/>
        <v>314524.27</v>
      </c>
      <c r="BU256" s="13"/>
      <c r="BV256" s="121">
        <v>0</v>
      </c>
      <c r="BW256" s="120"/>
      <c r="BX256" s="4"/>
      <c r="BY256" s="4"/>
      <c r="BZ256" s="4"/>
      <c r="CA256" s="4"/>
      <c r="CB256" s="4"/>
      <c r="CC256" s="4"/>
      <c r="CD256" s="4"/>
      <c r="CE256" s="4"/>
      <c r="CF256" s="4"/>
      <c r="CG256" s="4"/>
      <c r="CH256" s="4"/>
      <c r="CI256" s="4"/>
      <c r="CJ256" s="4"/>
      <c r="CK256" s="4"/>
      <c r="CL256" s="4"/>
      <c r="CM256" s="4"/>
      <c r="CN256" s="4"/>
      <c r="CO256" s="4"/>
      <c r="CP256" s="4"/>
      <c r="CQ256" s="4"/>
      <c r="CR256" s="4"/>
      <c r="CS256" s="4"/>
      <c r="CT256" s="4"/>
      <c r="CU256" s="4"/>
      <c r="CV256" s="4"/>
      <c r="CW256" s="4"/>
      <c r="CX256" s="4"/>
      <c r="CY256" s="4"/>
      <c r="CZ256" s="4"/>
      <c r="DA256" s="4"/>
      <c r="DB256" s="4"/>
      <c r="DC256" s="4"/>
      <c r="DD256" s="4"/>
      <c r="DE256" s="4"/>
      <c r="DF256" s="4"/>
      <c r="DG256" s="4"/>
      <c r="DH256" s="4"/>
      <c r="DI256" s="4"/>
      <c r="DJ256" s="4"/>
      <c r="DK256" s="4"/>
      <c r="DL256" s="4"/>
      <c r="DM256" s="4"/>
      <c r="DN256" s="4"/>
      <c r="DO256" s="4"/>
      <c r="DP256" s="4"/>
      <c r="DQ256" s="4"/>
      <c r="DR256" s="4"/>
      <c r="DS256" s="4"/>
      <c r="DT256" s="4"/>
    </row>
    <row r="257" spans="1:124" ht="13.5" hidden="1" thickTop="1">
      <c r="E257" s="4"/>
      <c r="G257" s="4"/>
      <c r="I257" s="4"/>
      <c r="L257" s="138"/>
      <c r="M257" s="6"/>
      <c r="O257" s="6"/>
      <c r="Q257" s="6"/>
      <c r="S257" s="6"/>
      <c r="T257" s="22"/>
      <c r="U257" s="6"/>
      <c r="V257" s="22"/>
      <c r="X257" s="22"/>
      <c r="Z257" s="22"/>
      <c r="AB257" s="22"/>
      <c r="AD257" s="22"/>
      <c r="AF257" s="22"/>
      <c r="AH257" s="22"/>
      <c r="AJ257" s="22"/>
      <c r="AL257" s="22"/>
      <c r="AN257" s="22"/>
      <c r="AP257" s="22"/>
      <c r="AR257" s="22"/>
      <c r="AT257" s="22"/>
      <c r="AU257" s="22"/>
      <c r="AV257" s="22"/>
      <c r="AW257" s="22"/>
      <c r="AX257" s="22"/>
      <c r="AY257" s="22"/>
      <c r="AZ257" s="22"/>
      <c r="BA257" s="22"/>
      <c r="BB257" s="22"/>
      <c r="BC257" s="22"/>
      <c r="BD257" s="22"/>
      <c r="BF257" s="22"/>
      <c r="BH257" s="22"/>
      <c r="BJ257" s="22"/>
      <c r="BL257" s="22"/>
      <c r="BN257" s="22"/>
      <c r="BP257" s="22"/>
      <c r="BT257" s="58"/>
      <c r="BW257" s="6"/>
    </row>
    <row r="258" spans="1:124" hidden="1">
      <c r="E258" s="4"/>
      <c r="G258" s="4"/>
      <c r="I258" s="4"/>
      <c r="L258" s="138"/>
      <c r="M258" s="6"/>
      <c r="O258" s="6"/>
      <c r="Q258" s="6"/>
      <c r="S258" s="6"/>
      <c r="T258" s="22"/>
      <c r="U258" s="6"/>
      <c r="V258" s="22"/>
      <c r="X258" s="22"/>
      <c r="Z258" s="22"/>
      <c r="AB258" s="22"/>
      <c r="AD258" s="22"/>
      <c r="AF258" s="22"/>
      <c r="AH258" s="22"/>
      <c r="AJ258" s="22"/>
      <c r="AL258" s="22"/>
      <c r="AN258" s="22"/>
      <c r="AP258" s="22"/>
      <c r="AR258" s="22"/>
      <c r="AT258" s="22"/>
      <c r="AU258" s="22"/>
      <c r="AV258" s="22"/>
      <c r="AW258" s="22"/>
      <c r="AX258" s="22"/>
      <c r="AY258" s="22"/>
      <c r="AZ258" s="22"/>
      <c r="BA258" s="22"/>
      <c r="BB258" s="22"/>
      <c r="BC258" s="22"/>
      <c r="BD258" s="22"/>
      <c r="BF258" s="22"/>
      <c r="BH258" s="22"/>
      <c r="BJ258" s="22"/>
      <c r="BL258" s="22"/>
      <c r="BN258" s="22"/>
      <c r="BP258" s="22"/>
      <c r="BT258" s="9"/>
      <c r="BW258" s="6"/>
    </row>
    <row r="259" spans="1:124" hidden="1">
      <c r="E259" s="4"/>
      <c r="G259" s="4"/>
      <c r="I259" s="4"/>
      <c r="L259" s="138"/>
      <c r="M259" s="6"/>
      <c r="O259" s="6"/>
      <c r="Q259" s="6"/>
      <c r="S259" s="6"/>
      <c r="T259" s="22"/>
      <c r="U259" s="6"/>
      <c r="V259" s="22"/>
      <c r="X259" s="22"/>
      <c r="Z259" s="22"/>
      <c r="AB259" s="22"/>
      <c r="AD259" s="22"/>
      <c r="AF259" s="22"/>
      <c r="AH259" s="22"/>
      <c r="AJ259" s="22"/>
      <c r="AL259" s="22"/>
      <c r="AN259" s="22"/>
      <c r="AP259" s="22"/>
      <c r="AR259" s="22"/>
      <c r="AT259" s="22"/>
      <c r="AU259" s="22"/>
      <c r="AV259" s="22"/>
      <c r="AW259" s="22"/>
      <c r="AX259" s="22"/>
      <c r="AY259" s="22"/>
      <c r="AZ259" s="22"/>
      <c r="BA259" s="22"/>
      <c r="BB259" s="22"/>
      <c r="BC259" s="22"/>
      <c r="BD259" s="22"/>
      <c r="BF259" s="22"/>
      <c r="BH259" s="22"/>
      <c r="BJ259" s="22"/>
      <c r="BL259" s="22"/>
      <c r="BN259" s="22"/>
      <c r="BP259" s="22"/>
      <c r="BT259" s="22"/>
      <c r="BW259" s="6"/>
    </row>
    <row r="260" spans="1:124" hidden="1">
      <c r="E260" s="4"/>
      <c r="G260" s="4"/>
      <c r="I260" s="4"/>
      <c r="L260" s="138"/>
      <c r="M260" s="6"/>
      <c r="O260" s="6"/>
      <c r="Q260" s="6"/>
      <c r="S260" s="6"/>
      <c r="T260" s="22"/>
      <c r="U260" s="6"/>
      <c r="V260" s="22"/>
      <c r="X260" s="22"/>
      <c r="Z260" s="22"/>
      <c r="AB260" s="22"/>
      <c r="AD260" s="22"/>
      <c r="AF260" s="22"/>
      <c r="AH260" s="22"/>
      <c r="AJ260" s="22"/>
      <c r="AL260" s="22"/>
      <c r="AN260" s="22"/>
      <c r="AP260" s="22"/>
      <c r="AR260" s="22"/>
      <c r="AT260" s="22"/>
      <c r="AU260" s="22"/>
      <c r="AV260" s="22"/>
      <c r="AW260" s="22"/>
      <c r="AX260" s="22"/>
      <c r="AY260" s="22"/>
      <c r="AZ260" s="22"/>
      <c r="BA260" s="22"/>
      <c r="BB260" s="22"/>
      <c r="BC260" s="22"/>
      <c r="BD260" s="22"/>
      <c r="BF260" s="22"/>
      <c r="BH260" s="22"/>
      <c r="BJ260" s="22"/>
      <c r="BL260" s="22"/>
      <c r="BN260" s="22"/>
      <c r="BP260" s="22"/>
      <c r="BW260" s="6"/>
    </row>
    <row r="261" spans="1:124" s="130" customFormat="1" ht="15" hidden="1" customHeight="1" thickBot="1">
      <c r="A261" s="284" t="s">
        <v>381</v>
      </c>
      <c r="J261" s="290"/>
      <c r="L261" s="291"/>
      <c r="M261" s="131"/>
      <c r="N261" s="121" t="e">
        <f>#REF!+N258</f>
        <v>#REF!</v>
      </c>
      <c r="O261" s="121"/>
      <c r="P261" s="121" t="e">
        <f>#REF!+P258</f>
        <v>#REF!</v>
      </c>
      <c r="Q261" s="121"/>
      <c r="R261" s="121">
        <f>R247+R256</f>
        <v>239612890.75</v>
      </c>
      <c r="S261" s="121">
        <f t="shared" ref="S261:BV261" si="44">S247+S256</f>
        <v>0</v>
      </c>
      <c r="T261" s="121">
        <f t="shared" si="44"/>
        <v>7279633</v>
      </c>
      <c r="U261" s="121">
        <f t="shared" si="44"/>
        <v>0</v>
      </c>
      <c r="V261" s="121">
        <f t="shared" si="44"/>
        <v>1298988.96</v>
      </c>
      <c r="W261" s="121">
        <f t="shared" si="44"/>
        <v>0</v>
      </c>
      <c r="X261" s="121">
        <f t="shared" si="44"/>
        <v>33151937.879999999</v>
      </c>
      <c r="Y261" s="121">
        <f t="shared" si="44"/>
        <v>0</v>
      </c>
      <c r="Z261" s="121">
        <f t="shared" si="44"/>
        <v>280030.83</v>
      </c>
      <c r="AA261" s="121">
        <f t="shared" si="44"/>
        <v>0</v>
      </c>
      <c r="AB261" s="121">
        <f t="shared" si="44"/>
        <v>1733894.8599999999</v>
      </c>
      <c r="AC261" s="121">
        <f t="shared" si="44"/>
        <v>0</v>
      </c>
      <c r="AD261" s="121">
        <f t="shared" si="44"/>
        <v>18875379.879999999</v>
      </c>
      <c r="AE261" s="121"/>
      <c r="AF261" s="121">
        <f t="shared" si="44"/>
        <v>8167701.1408541668</v>
      </c>
      <c r="AG261" s="121"/>
      <c r="AH261" s="121">
        <f t="shared" si="44"/>
        <v>8854945.3874601815</v>
      </c>
      <c r="AI261" s="121"/>
      <c r="AJ261" s="121">
        <f t="shared" si="44"/>
        <v>6988530.1253887061</v>
      </c>
      <c r="AK261" s="4"/>
      <c r="AL261" s="121">
        <f t="shared" si="44"/>
        <v>7789829.6057027699</v>
      </c>
      <c r="AM261" s="4"/>
      <c r="AN261" s="121">
        <f t="shared" si="44"/>
        <v>11652992.180000002</v>
      </c>
      <c r="AO261" s="121">
        <f t="shared" si="44"/>
        <v>0</v>
      </c>
      <c r="AP261" s="121">
        <f t="shared" si="44"/>
        <v>17627423.913877048</v>
      </c>
      <c r="AQ261" s="121">
        <f t="shared" si="44"/>
        <v>0</v>
      </c>
      <c r="AR261" s="121">
        <f t="shared" si="44"/>
        <v>39305575.995295264</v>
      </c>
      <c r="AS261" s="121">
        <f t="shared" si="44"/>
        <v>0</v>
      </c>
      <c r="AT261" s="121">
        <f t="shared" si="44"/>
        <v>2943898.2559045074</v>
      </c>
      <c r="AU261" s="121">
        <f t="shared" si="44"/>
        <v>0</v>
      </c>
      <c r="AV261" s="121">
        <f t="shared" si="44"/>
        <v>29327061.258771211</v>
      </c>
      <c r="AW261" s="121">
        <f t="shared" si="44"/>
        <v>0</v>
      </c>
      <c r="AX261" s="121">
        <f t="shared" si="44"/>
        <v>23481763.284490943</v>
      </c>
      <c r="AY261" s="121">
        <f t="shared" si="44"/>
        <v>0</v>
      </c>
      <c r="AZ261" s="121">
        <f t="shared" si="44"/>
        <v>22126233.530000001</v>
      </c>
      <c r="BA261" s="121">
        <f t="shared" si="44"/>
        <v>0</v>
      </c>
      <c r="BB261" s="121">
        <f t="shared" si="44"/>
        <v>8493040.5109472163</v>
      </c>
      <c r="BC261" s="121"/>
      <c r="BD261" s="121">
        <f t="shared" si="44"/>
        <v>11834996.67</v>
      </c>
      <c r="BE261" s="4"/>
      <c r="BF261" s="121">
        <f t="shared" si="44"/>
        <v>1350600.65</v>
      </c>
      <c r="BG261" s="4"/>
      <c r="BH261" s="121">
        <f t="shared" si="44"/>
        <v>401728.88999999996</v>
      </c>
      <c r="BI261" s="4"/>
      <c r="BJ261" s="121">
        <f t="shared" si="44"/>
        <v>5162294</v>
      </c>
      <c r="BK261" s="4"/>
      <c r="BL261" s="121">
        <f>BL247+BL256</f>
        <v>245540</v>
      </c>
      <c r="BM261" s="4"/>
      <c r="BN261" s="121">
        <f t="shared" si="44"/>
        <v>268374020.80869204</v>
      </c>
      <c r="BO261" s="4"/>
      <c r="BP261" s="121">
        <f t="shared" si="44"/>
        <v>30419518.490000002</v>
      </c>
      <c r="BQ261" s="4"/>
      <c r="BR261" s="121">
        <f t="shared" si="44"/>
        <v>2715759.5761786527</v>
      </c>
      <c r="BS261" s="121">
        <f t="shared" si="44"/>
        <v>2030320</v>
      </c>
      <c r="BT261" s="121">
        <f t="shared" si="44"/>
        <v>271099480.38487065</v>
      </c>
      <c r="BU261" s="121">
        <f t="shared" si="44"/>
        <v>2030320</v>
      </c>
      <c r="BV261" s="121">
        <f t="shared" si="44"/>
        <v>-31184017.85487067</v>
      </c>
      <c r="BW261" s="131"/>
      <c r="BX261" s="4"/>
      <c r="BY261" s="4"/>
      <c r="BZ261" s="4"/>
      <c r="CA261" s="4"/>
      <c r="CB261" s="4"/>
      <c r="CC261" s="4"/>
      <c r="CD261" s="4"/>
      <c r="CE261" s="4"/>
      <c r="CF261" s="4"/>
      <c r="CG261" s="4"/>
      <c r="CH261" s="4"/>
      <c r="CI261" s="4"/>
      <c r="CJ261" s="4"/>
      <c r="CK261" s="4"/>
      <c r="CL261" s="4"/>
      <c r="CM261" s="4"/>
      <c r="CN261" s="4"/>
      <c r="CO261" s="4"/>
      <c r="CP261" s="4"/>
      <c r="CQ261" s="4"/>
      <c r="CR261" s="4"/>
      <c r="CS261" s="4"/>
      <c r="CT261" s="4"/>
      <c r="CU261" s="4"/>
      <c r="CV261" s="4"/>
      <c r="CW261" s="4"/>
      <c r="CX261" s="4"/>
      <c r="CY261" s="4"/>
      <c r="CZ261" s="4"/>
      <c r="DA261" s="4"/>
      <c r="DB261" s="4"/>
      <c r="DC261" s="4"/>
      <c r="DD261" s="4"/>
      <c r="DE261" s="4"/>
      <c r="DF261" s="4"/>
      <c r="DG261" s="4"/>
      <c r="DH261" s="4"/>
      <c r="DI261" s="4"/>
      <c r="DJ261" s="4"/>
      <c r="DK261" s="4"/>
      <c r="DL261" s="4"/>
      <c r="DM261" s="4"/>
      <c r="DN261" s="4"/>
      <c r="DO261" s="4"/>
      <c r="DP261" s="4"/>
      <c r="DQ261" s="4"/>
      <c r="DR261" s="4"/>
      <c r="DS261" s="4"/>
      <c r="DT261" s="4"/>
    </row>
    <row r="262" spans="1:124">
      <c r="E262" s="4"/>
      <c r="G262" s="4"/>
      <c r="I262" s="4"/>
      <c r="J262" s="4"/>
      <c r="L262" s="4"/>
      <c r="N262" s="4"/>
      <c r="P262" s="4"/>
      <c r="R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L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  <c r="AX262" s="4"/>
      <c r="AY262" s="4"/>
      <c r="AZ262" s="4"/>
      <c r="BA262" s="4"/>
      <c r="BB262" s="4"/>
      <c r="BC262" s="4"/>
      <c r="BD262" s="4"/>
      <c r="BF262" s="4"/>
      <c r="BH262" s="4"/>
      <c r="BJ262" s="4"/>
      <c r="BL262" s="4"/>
      <c r="BN262" s="4"/>
      <c r="BP262" s="4"/>
      <c r="BR262" s="4"/>
      <c r="BS262" s="4"/>
      <c r="BT262" s="4"/>
      <c r="BU262" s="4"/>
      <c r="BV262" s="4"/>
    </row>
    <row r="263" spans="1:124">
      <c r="K263" s="5"/>
      <c r="L263" s="146"/>
      <c r="M263" s="6"/>
      <c r="O263" s="6"/>
      <c r="Q263" s="6"/>
      <c r="S263" s="6"/>
      <c r="T263" s="22"/>
      <c r="U263" s="6"/>
      <c r="V263" s="22"/>
      <c r="X263" s="22"/>
      <c r="Z263" s="22"/>
      <c r="AB263" s="22"/>
      <c r="AD263" s="22"/>
      <c r="AF263" s="22"/>
      <c r="AH263" s="22"/>
      <c r="AJ263" s="22"/>
      <c r="AL263" s="22"/>
      <c r="AN263" s="22"/>
      <c r="AP263" s="22"/>
      <c r="AR263" s="22"/>
      <c r="AT263" s="22"/>
      <c r="AU263" s="22"/>
      <c r="AV263" s="22"/>
      <c r="AW263" s="22"/>
      <c r="AX263" s="22"/>
      <c r="AY263" s="22"/>
      <c r="AZ263" s="22"/>
      <c r="BA263" s="22"/>
      <c r="BB263" s="22"/>
      <c r="BC263" s="22"/>
      <c r="BD263" s="22" t="s">
        <v>413</v>
      </c>
      <c r="BF263" s="22"/>
      <c r="BH263" s="22"/>
      <c r="BJ263" s="22"/>
      <c r="BL263" s="22"/>
      <c r="BN263" s="4"/>
      <c r="BO263" s="15"/>
      <c r="BP263" s="22"/>
      <c r="BW263" s="6"/>
    </row>
    <row r="264" spans="1:124">
      <c r="K264" s="5"/>
      <c r="L264" s="146"/>
      <c r="M264" s="6"/>
      <c r="O264" s="6"/>
      <c r="Q264" s="6"/>
      <c r="S264" s="6"/>
      <c r="T264" s="22"/>
      <c r="U264" s="6"/>
      <c r="V264" s="22"/>
      <c r="X264" s="22"/>
      <c r="Z264" s="22"/>
      <c r="AB264" s="22"/>
      <c r="AD264" s="22"/>
      <c r="AF264" s="22"/>
      <c r="AH264" s="22"/>
      <c r="AJ264" s="22"/>
      <c r="AL264" s="22"/>
      <c r="AN264" s="22"/>
      <c r="AP264" s="22"/>
      <c r="AR264" s="22"/>
      <c r="AT264" s="22"/>
      <c r="AU264" s="22"/>
      <c r="AV264" s="22"/>
      <c r="AW264" s="22"/>
      <c r="AX264" s="22"/>
      <c r="AY264" s="22"/>
      <c r="AZ264" s="22"/>
      <c r="BA264" s="22"/>
      <c r="BB264" s="22"/>
      <c r="BC264" s="22"/>
      <c r="BD264" s="22" t="s">
        <v>414</v>
      </c>
      <c r="BF264" s="22"/>
      <c r="BH264" s="22"/>
      <c r="BJ264" s="22"/>
      <c r="BL264" s="22"/>
      <c r="BN264" s="4"/>
      <c r="BO264" s="15"/>
      <c r="BP264" s="22"/>
      <c r="BW264" s="6"/>
    </row>
    <row r="265" spans="1:124">
      <c r="K265" s="5"/>
      <c r="L265" s="146"/>
      <c r="M265" s="6"/>
      <c r="O265" s="6"/>
      <c r="Q265" s="6"/>
      <c r="S265" s="6"/>
      <c r="T265" s="22"/>
      <c r="U265" s="6"/>
      <c r="V265" s="22"/>
      <c r="X265" s="22"/>
      <c r="Z265" s="22"/>
      <c r="AB265" s="22"/>
      <c r="AD265" s="22"/>
      <c r="AF265" s="22"/>
      <c r="AH265" s="22"/>
      <c r="AJ265" s="22"/>
      <c r="AL265" s="22"/>
      <c r="AN265" s="22"/>
      <c r="AP265" s="22"/>
      <c r="AR265" s="22"/>
      <c r="AT265" s="22"/>
      <c r="AU265" s="22"/>
      <c r="AV265" s="22"/>
      <c r="AW265" s="22"/>
      <c r="AX265" s="22"/>
      <c r="AY265" s="22"/>
      <c r="AZ265" s="22"/>
      <c r="BA265" s="22"/>
      <c r="BB265" s="22"/>
      <c r="BC265" s="22"/>
      <c r="BD265" s="22" t="s">
        <v>415</v>
      </c>
      <c r="BF265" s="22"/>
      <c r="BH265" s="22"/>
      <c r="BJ265" s="22"/>
      <c r="BL265" s="22"/>
      <c r="BN265" s="4"/>
      <c r="BO265" s="15"/>
      <c r="BP265" s="22"/>
      <c r="BW265" s="6"/>
    </row>
    <row r="266" spans="1:124">
      <c r="K266" s="5"/>
      <c r="L266" s="146"/>
      <c r="M266" s="6"/>
      <c r="O266" s="6"/>
      <c r="Q266" s="6"/>
      <c r="S266" s="6"/>
      <c r="T266" s="22"/>
      <c r="U266" s="6"/>
      <c r="V266" s="22"/>
      <c r="X266" s="22"/>
      <c r="Z266" s="22"/>
      <c r="AB266" s="22"/>
      <c r="AD266" s="22"/>
      <c r="AF266" s="22"/>
      <c r="AH266" s="22"/>
      <c r="AJ266" s="22"/>
      <c r="AL266" s="22"/>
      <c r="AN266" s="22"/>
      <c r="AP266" s="22"/>
      <c r="AR266" s="22"/>
      <c r="AT266" s="22"/>
      <c r="AU266" s="22"/>
      <c r="AV266" s="22"/>
      <c r="AW266" s="22"/>
      <c r="AX266" s="22"/>
      <c r="AY266" s="22"/>
      <c r="AZ266" s="22"/>
      <c r="BA266" s="22"/>
      <c r="BB266" s="22"/>
      <c r="BC266" s="22"/>
      <c r="BD266" s="22" t="s">
        <v>428</v>
      </c>
      <c r="BF266" s="22"/>
      <c r="BH266" s="22"/>
      <c r="BJ266" s="22"/>
      <c r="BL266" s="22"/>
      <c r="BN266" s="4"/>
      <c r="BO266" s="15"/>
      <c r="BP266" s="22"/>
      <c r="BW266" s="6"/>
    </row>
    <row r="267" spans="1:124">
      <c r="K267" s="5"/>
      <c r="L267" s="146"/>
      <c r="M267" s="6"/>
      <c r="O267" s="6"/>
      <c r="Q267" s="6"/>
      <c r="S267" s="6"/>
      <c r="T267" s="22"/>
      <c r="U267" s="6"/>
      <c r="V267" s="22"/>
      <c r="X267" s="22"/>
      <c r="Z267" s="22"/>
      <c r="AB267" s="22"/>
      <c r="AD267" s="22"/>
      <c r="AF267" s="22"/>
      <c r="AH267" s="22"/>
      <c r="AJ267" s="22"/>
      <c r="AL267" s="22"/>
      <c r="AN267" s="22"/>
      <c r="AP267" s="22"/>
      <c r="AR267" s="22"/>
      <c r="AT267" s="22"/>
      <c r="AU267" s="22"/>
      <c r="AV267" s="22"/>
      <c r="AW267" s="22"/>
      <c r="AX267" s="22"/>
      <c r="AY267" s="22"/>
      <c r="AZ267" s="22"/>
      <c r="BA267" s="22"/>
      <c r="BB267" s="22"/>
      <c r="BC267" s="22"/>
      <c r="BD267" s="22" t="s">
        <v>416</v>
      </c>
      <c r="BF267" s="22"/>
      <c r="BH267" s="22"/>
      <c r="BJ267" s="22"/>
      <c r="BL267" s="22"/>
      <c r="BN267" s="4"/>
      <c r="BO267" s="15"/>
      <c r="BP267" s="22"/>
      <c r="BW267" s="6"/>
    </row>
    <row r="268" spans="1:124">
      <c r="K268" s="5"/>
      <c r="L268" s="146"/>
      <c r="M268" s="6"/>
      <c r="O268" s="6"/>
      <c r="Q268" s="6"/>
      <c r="S268" s="6"/>
      <c r="T268" s="22"/>
      <c r="U268" s="6"/>
      <c r="V268" s="22"/>
      <c r="X268" s="22"/>
      <c r="Z268" s="22"/>
      <c r="AB268" s="22"/>
      <c r="AD268" s="22"/>
      <c r="AF268" s="22"/>
      <c r="AH268" s="22"/>
      <c r="AJ268" s="22"/>
      <c r="AL268" s="22"/>
      <c r="AN268" s="22"/>
      <c r="AP268" s="22"/>
      <c r="AR268" s="22"/>
      <c r="AT268" s="22"/>
      <c r="AU268" s="22"/>
      <c r="AV268" s="22"/>
      <c r="AW268" s="22"/>
      <c r="AX268" s="22"/>
      <c r="AY268" s="22"/>
      <c r="AZ268" s="22"/>
      <c r="BA268" s="22"/>
      <c r="BB268" s="22"/>
      <c r="BC268" s="22"/>
      <c r="BD268" s="22" t="s">
        <v>417</v>
      </c>
      <c r="BF268" s="22"/>
      <c r="BH268" s="22"/>
      <c r="BJ268" s="22"/>
      <c r="BL268" s="22"/>
      <c r="BN268" s="4"/>
      <c r="BO268" s="15"/>
      <c r="BP268" s="22"/>
      <c r="BW268" s="6"/>
    </row>
    <row r="269" spans="1:124">
      <c r="K269" s="5"/>
      <c r="L269" s="146"/>
      <c r="M269" s="6"/>
      <c r="O269" s="6"/>
      <c r="Q269" s="6"/>
      <c r="S269" s="6"/>
      <c r="T269" s="22"/>
      <c r="U269" s="6"/>
      <c r="V269" s="22"/>
      <c r="X269" s="22"/>
      <c r="Z269" s="22"/>
      <c r="AB269" s="22"/>
      <c r="AD269" s="22"/>
      <c r="AF269" s="22"/>
      <c r="AH269" s="22"/>
      <c r="AJ269" s="22"/>
      <c r="AL269" s="22"/>
      <c r="AN269" s="22"/>
      <c r="AP269" s="22"/>
      <c r="AR269" s="22"/>
      <c r="AT269" s="22"/>
      <c r="AU269" s="22"/>
      <c r="AV269" s="22"/>
      <c r="AW269" s="22"/>
      <c r="AX269" s="22"/>
      <c r="AY269" s="22"/>
      <c r="AZ269" s="22"/>
      <c r="BA269" s="22"/>
      <c r="BB269" s="22"/>
      <c r="BC269" s="22"/>
      <c r="BD269" s="22" t="s">
        <v>418</v>
      </c>
      <c r="BF269" s="22"/>
      <c r="BH269" s="22"/>
      <c r="BJ269" s="22"/>
      <c r="BL269" s="22"/>
      <c r="BN269" s="4"/>
      <c r="BP269" s="22"/>
      <c r="BW269" s="6"/>
    </row>
    <row r="270" spans="1:124">
      <c r="K270" s="5"/>
      <c r="L270" s="146"/>
      <c r="BN270" s="22"/>
    </row>
    <row r="271" spans="1:124">
      <c r="K271" s="5"/>
      <c r="L271" s="146"/>
      <c r="BN271" s="22"/>
    </row>
    <row r="272" spans="1:124">
      <c r="K272" s="5"/>
      <c r="L272" s="146"/>
      <c r="BN272" s="22"/>
    </row>
    <row r="273" spans="11:66">
      <c r="K273" s="5"/>
      <c r="L273" s="146"/>
      <c r="BN273" s="22"/>
    </row>
    <row r="274" spans="11:66">
      <c r="K274" s="5"/>
      <c r="L274" s="146"/>
      <c r="BN274" s="22"/>
    </row>
    <row r="275" spans="11:66">
      <c r="L275" s="138"/>
      <c r="BN275" s="22"/>
    </row>
    <row r="276" spans="11:66">
      <c r="BN276" s="22"/>
    </row>
    <row r="277" spans="11:66">
      <c r="BN277" s="22"/>
    </row>
    <row r="278" spans="11:66">
      <c r="BN278" s="22"/>
    </row>
    <row r="279" spans="11:66">
      <c r="BN279" s="22"/>
    </row>
    <row r="280" spans="11:66">
      <c r="BN280" s="22"/>
    </row>
    <row r="281" spans="11:66">
      <c r="BN281" s="22"/>
    </row>
    <row r="282" spans="11:66">
      <c r="BN282" s="22"/>
    </row>
    <row r="283" spans="11:66">
      <c r="BN283" s="22"/>
    </row>
    <row r="284" spans="11:66">
      <c r="BN284" s="22"/>
    </row>
    <row r="285" spans="11:66">
      <c r="BN285" s="22"/>
    </row>
    <row r="286" spans="11:66">
      <c r="BN286" s="22"/>
    </row>
    <row r="287" spans="11:66">
      <c r="BN287" s="22"/>
    </row>
    <row r="288" spans="11:66">
      <c r="BN288" s="22"/>
    </row>
    <row r="289" spans="66:66">
      <c r="BN289" s="22"/>
    </row>
    <row r="290" spans="66:66">
      <c r="BN290" s="22"/>
    </row>
    <row r="291" spans="66:66">
      <c r="BN291" s="22"/>
    </row>
    <row r="292" spans="66:66">
      <c r="BN292" s="22"/>
    </row>
    <row r="293" spans="66:66">
      <c r="BN293" s="22"/>
    </row>
    <row r="294" spans="66:66">
      <c r="BN294" s="22"/>
    </row>
    <row r="295" spans="66:66">
      <c r="BN295" s="22"/>
    </row>
    <row r="296" spans="66:66">
      <c r="BN296" s="22"/>
    </row>
    <row r="297" spans="66:66">
      <c r="BN297" s="22"/>
    </row>
    <row r="298" spans="66:66">
      <c r="BN298" s="22"/>
    </row>
    <row r="299" spans="66:66">
      <c r="BN299" s="22"/>
    </row>
    <row r="300" spans="66:66">
      <c r="BN300" s="22"/>
    </row>
    <row r="301" spans="66:66">
      <c r="BN301" s="22"/>
    </row>
    <row r="302" spans="66:66">
      <c r="BN302" s="22"/>
    </row>
    <row r="303" spans="66:66">
      <c r="BN303" s="22"/>
    </row>
    <row r="304" spans="66:66">
      <c r="BN304" s="22"/>
    </row>
  </sheetData>
  <printOptions horizontalCentered="1"/>
  <pageMargins left="0.25" right="0.25" top="0.32" bottom="0.19" header="0" footer="0"/>
  <pageSetup scale="45" fitToHeight="2" orientation="landscape" verticalDpi="300" r:id="rId1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DT269"/>
  <sheetViews>
    <sheetView zoomScale="85" zoomScaleNormal="75" workbookViewId="0">
      <pane xSplit="19" ySplit="8" topLeftCell="BR242" activePane="bottomRight" state="frozen"/>
      <selection activeCell="K13" sqref="K13:K16"/>
      <selection pane="topRight" activeCell="K13" sqref="K13:K16"/>
      <selection pane="bottomLeft" activeCell="K13" sqref="K13:K16"/>
      <selection pane="bottomRight" activeCell="BP273" sqref="BP273"/>
    </sheetView>
  </sheetViews>
  <sheetFormatPr defaultRowHeight="12.75"/>
  <cols>
    <col min="1" max="1" width="4.7109375" style="4" customWidth="1"/>
    <col min="2" max="2" width="55.140625" style="4" customWidth="1"/>
    <col min="3" max="3" width="9.28515625" style="4" hidden="1" customWidth="1"/>
    <col min="4" max="4" width="0.85546875" style="4" hidden="1" customWidth="1"/>
    <col min="5" max="5" width="16.85546875" style="5" hidden="1" customWidth="1"/>
    <col min="6" max="6" width="0.85546875" style="4" hidden="1" customWidth="1"/>
    <col min="7" max="7" width="17.140625" style="5" hidden="1" customWidth="1"/>
    <col min="8" max="8" width="0.85546875" style="4" hidden="1" customWidth="1"/>
    <col min="9" max="9" width="11.140625" style="5" hidden="1" customWidth="1"/>
    <col min="10" max="10" width="11.140625" style="5" customWidth="1"/>
    <col min="11" max="11" width="0.85546875" style="4" customWidth="1"/>
    <col min="12" max="12" width="12.28515625" style="147" customWidth="1"/>
    <col min="13" max="13" width="0.85546875" style="4" customWidth="1"/>
    <col min="14" max="14" width="19.42578125" style="6" hidden="1" customWidth="1"/>
    <col min="15" max="15" width="0.85546875" style="4" hidden="1" customWidth="1"/>
    <col min="16" max="16" width="16.28515625" style="6" hidden="1" customWidth="1"/>
    <col min="17" max="17" width="0.85546875" style="4" hidden="1" customWidth="1"/>
    <col min="18" max="18" width="21.140625" style="6" customWidth="1"/>
    <col min="19" max="19" width="2.42578125" style="4" hidden="1" customWidth="1"/>
    <col min="20" max="20" width="19.140625" style="65" hidden="1" customWidth="1"/>
    <col min="21" max="21" width="0.85546875" style="97" hidden="1" customWidth="1"/>
    <col min="22" max="22" width="17.85546875" style="65" hidden="1" customWidth="1"/>
    <col min="23" max="23" width="0.85546875" style="6" hidden="1" customWidth="1"/>
    <col min="24" max="24" width="0.140625" style="65" hidden="1" customWidth="1"/>
    <col min="25" max="25" width="0.85546875" style="6" hidden="1" customWidth="1"/>
    <col min="26" max="26" width="17.85546875" style="65" hidden="1" customWidth="1"/>
    <col min="27" max="27" width="0.85546875" style="6" hidden="1" customWidth="1"/>
    <col min="28" max="28" width="0.140625" style="65" hidden="1" customWidth="1"/>
    <col min="29" max="29" width="0.85546875" style="6" hidden="1" customWidth="1"/>
    <col min="30" max="30" width="18" style="65" hidden="1" customWidth="1"/>
    <col min="31" max="31" width="1.28515625" style="6" hidden="1" customWidth="1"/>
    <col min="32" max="32" width="18" style="6" hidden="1" customWidth="1"/>
    <col min="33" max="33" width="1.5703125" style="6" hidden="1" customWidth="1"/>
    <col min="34" max="34" width="17.7109375" style="6" hidden="1" customWidth="1"/>
    <col min="35" max="35" width="2" style="6" hidden="1" customWidth="1"/>
    <col min="36" max="36" width="17.85546875" style="6" hidden="1" customWidth="1"/>
    <col min="37" max="37" width="0.85546875" style="6" hidden="1" customWidth="1"/>
    <col min="38" max="38" width="17.85546875" style="6" hidden="1" customWidth="1"/>
    <col min="39" max="39" width="0.85546875" style="6" hidden="1" customWidth="1"/>
    <col min="40" max="40" width="17.85546875" style="6" hidden="1" customWidth="1"/>
    <col min="41" max="41" width="0.85546875" style="6" customWidth="1"/>
    <col min="42" max="42" width="17.85546875" style="6" hidden="1" customWidth="1"/>
    <col min="43" max="43" width="0.85546875" style="6" hidden="1" customWidth="1"/>
    <col min="44" max="44" width="17.85546875" style="6" hidden="1" customWidth="1"/>
    <col min="45" max="45" width="0.85546875" style="6" hidden="1" customWidth="1"/>
    <col min="46" max="46" width="17.85546875" style="6" hidden="1" customWidth="1"/>
    <col min="47" max="47" width="0.85546875" style="6" hidden="1" customWidth="1"/>
    <col min="48" max="48" width="17.85546875" style="6" hidden="1" customWidth="1"/>
    <col min="49" max="49" width="0.85546875" style="6" hidden="1" customWidth="1"/>
    <col min="50" max="50" width="17.85546875" style="6" hidden="1" customWidth="1"/>
    <col min="51" max="51" width="0.85546875" style="6" hidden="1" customWidth="1"/>
    <col min="52" max="52" width="0.140625" style="6" hidden="1" customWidth="1"/>
    <col min="53" max="53" width="0.85546875" style="6" hidden="1" customWidth="1"/>
    <col min="54" max="54" width="17.85546875" style="6" hidden="1" customWidth="1"/>
    <col min="55" max="55" width="0.85546875" style="6" hidden="1" customWidth="1"/>
    <col min="56" max="56" width="17.85546875" style="6" hidden="1" customWidth="1"/>
    <col min="57" max="57" width="0.85546875" style="6" hidden="1" customWidth="1"/>
    <col min="58" max="58" width="17.85546875" style="6" hidden="1" customWidth="1"/>
    <col min="59" max="59" width="0.85546875" style="6" hidden="1" customWidth="1"/>
    <col min="60" max="60" width="17.85546875" style="6" hidden="1" customWidth="1"/>
    <col min="61" max="61" width="0.85546875" style="6" hidden="1" customWidth="1"/>
    <col min="62" max="62" width="17.85546875" style="6" hidden="1" customWidth="1"/>
    <col min="63" max="63" width="0.85546875" style="6" hidden="1" customWidth="1"/>
    <col min="64" max="64" width="16" style="65" hidden="1" customWidth="1"/>
    <col min="65" max="65" width="2.140625" style="4" hidden="1" customWidth="1"/>
    <col min="66" max="66" width="20.85546875" style="6" customWidth="1"/>
    <col min="67" max="67" width="0.85546875" style="4" hidden="1" customWidth="1"/>
    <col min="68" max="68" width="19.140625" style="65" customWidth="1"/>
    <col min="69" max="69" width="0.85546875" style="4" customWidth="1"/>
    <col min="70" max="70" width="24.140625" style="6" bestFit="1" customWidth="1"/>
    <col min="71" max="71" width="1.7109375" style="6" customWidth="1"/>
    <col min="72" max="72" width="20.85546875" style="6" customWidth="1"/>
    <col min="73" max="73" width="1.7109375" style="6" customWidth="1"/>
    <col min="74" max="74" width="15.85546875" style="6" customWidth="1"/>
    <col min="75" max="75" width="0.85546875" style="4" customWidth="1"/>
    <col min="76" max="76" width="75.85546875" style="4" customWidth="1"/>
    <col min="77" max="16384" width="9.140625" style="4"/>
  </cols>
  <sheetData>
    <row r="1" spans="1:76" s="18" customFormat="1" ht="15.75">
      <c r="A1" s="66" t="str">
        <f>+Summary!A1</f>
        <v>ENRON CAPITAL &amp; TRADE RESOURCES</v>
      </c>
      <c r="B1" s="3"/>
      <c r="C1" s="119"/>
      <c r="D1" s="122"/>
      <c r="E1" s="123"/>
      <c r="F1" s="122"/>
      <c r="G1" s="123"/>
      <c r="H1" s="122"/>
      <c r="I1" s="123"/>
      <c r="J1" s="123"/>
      <c r="K1" s="122"/>
      <c r="L1" s="134"/>
      <c r="M1" s="122"/>
      <c r="N1" s="124"/>
      <c r="O1" s="122"/>
      <c r="P1" s="124"/>
      <c r="R1" s="68"/>
      <c r="T1" s="81"/>
      <c r="U1" s="96"/>
      <c r="V1" s="81"/>
      <c r="W1" s="68"/>
      <c r="X1" s="81"/>
      <c r="Y1" s="68"/>
      <c r="Z1" s="81"/>
      <c r="AA1" s="68"/>
      <c r="AB1" s="81"/>
      <c r="AC1" s="68"/>
      <c r="AD1" s="81"/>
      <c r="AE1" s="68"/>
      <c r="AF1" s="68"/>
      <c r="AG1" s="68"/>
      <c r="AH1" s="68"/>
      <c r="AI1" s="68"/>
      <c r="AJ1" s="68"/>
      <c r="AK1" s="68"/>
      <c r="AL1" s="68"/>
      <c r="AM1" s="68"/>
      <c r="AN1" s="68"/>
      <c r="AO1" s="68"/>
      <c r="AP1" s="68"/>
      <c r="AQ1" s="68"/>
      <c r="AR1" s="68"/>
      <c r="AS1" s="68"/>
      <c r="AT1" s="68"/>
      <c r="AU1" s="68"/>
      <c r="AV1" s="68"/>
      <c r="AW1" s="68"/>
      <c r="AX1" s="68"/>
      <c r="AY1" s="68"/>
      <c r="AZ1" s="68"/>
      <c r="BA1" s="68"/>
      <c r="BB1" s="68"/>
      <c r="BC1" s="68"/>
      <c r="BD1" s="68"/>
      <c r="BE1" s="68"/>
      <c r="BF1" s="68"/>
      <c r="BG1" s="68"/>
      <c r="BH1" s="68"/>
      <c r="BI1" s="68"/>
      <c r="BJ1" s="68"/>
      <c r="BK1" s="68"/>
      <c r="BL1" s="81"/>
      <c r="BN1" s="78"/>
      <c r="BP1" s="81"/>
      <c r="BR1" s="78"/>
      <c r="BS1" s="78"/>
      <c r="BT1" s="78"/>
      <c r="BU1" s="78"/>
      <c r="BV1" s="68"/>
    </row>
    <row r="2" spans="1:76" s="18" customFormat="1" ht="15.75">
      <c r="A2" s="66" t="str">
        <f>+Summary!A2</f>
        <v>Energy Services</v>
      </c>
      <c r="B2" s="3"/>
      <c r="C2" s="119"/>
      <c r="D2" s="122"/>
      <c r="E2" s="123"/>
      <c r="F2" s="122"/>
      <c r="G2" s="123"/>
      <c r="H2" s="122"/>
      <c r="I2" s="123"/>
      <c r="J2" s="123"/>
      <c r="K2" s="122"/>
      <c r="L2" s="134"/>
      <c r="M2" s="122"/>
      <c r="N2" s="124"/>
      <c r="O2" s="122"/>
      <c r="P2" s="124"/>
      <c r="R2" s="68"/>
      <c r="T2" s="81"/>
      <c r="U2" s="96"/>
      <c r="V2" s="81"/>
      <c r="W2" s="68"/>
      <c r="X2" s="81"/>
      <c r="Y2" s="68"/>
      <c r="Z2" s="81"/>
      <c r="AA2" s="68"/>
      <c r="AB2" s="81"/>
      <c r="AC2" s="68"/>
      <c r="AD2" s="81"/>
      <c r="AE2" s="68"/>
      <c r="AF2" s="68"/>
      <c r="AG2" s="68"/>
      <c r="AH2" s="68"/>
      <c r="AI2" s="68"/>
      <c r="AJ2" s="68"/>
      <c r="AK2" s="68"/>
      <c r="AL2" s="68"/>
      <c r="AM2" s="68"/>
      <c r="AN2" s="68"/>
      <c r="AO2" s="68"/>
      <c r="AP2" s="68"/>
      <c r="AQ2" s="68"/>
      <c r="AR2" s="68"/>
      <c r="AS2" s="68"/>
      <c r="AT2" s="68"/>
      <c r="AU2" s="68"/>
      <c r="AV2" s="68"/>
      <c r="AW2" s="68"/>
      <c r="AX2" s="68"/>
      <c r="AY2" s="68"/>
      <c r="AZ2" s="68"/>
      <c r="BA2" s="68"/>
      <c r="BB2" s="68"/>
      <c r="BC2" s="68"/>
      <c r="BD2" s="68"/>
      <c r="BE2" s="68"/>
      <c r="BF2" s="68"/>
      <c r="BG2" s="68"/>
      <c r="BH2" s="68"/>
      <c r="BI2" s="68"/>
      <c r="BJ2" s="68"/>
      <c r="BK2" s="68"/>
      <c r="BL2" s="81"/>
      <c r="BN2" s="68"/>
      <c r="BP2" s="81"/>
      <c r="BR2" s="68"/>
      <c r="BS2" s="68"/>
      <c r="BT2" s="68"/>
      <c r="BU2" s="68"/>
      <c r="BV2" s="106" t="str">
        <f ca="1">CELL("filename")</f>
        <v>O:\Fin_Ops\Engysvc\PowerPlants\2000 Plants\Weekly Report\[2000 Weekly Report - 102300.xls]Summary</v>
      </c>
    </row>
    <row r="3" spans="1:76" s="18" customFormat="1" ht="15.75">
      <c r="A3" s="99" t="s">
        <v>193</v>
      </c>
      <c r="B3" s="3"/>
      <c r="C3" s="119"/>
      <c r="D3" s="122"/>
      <c r="E3" s="123"/>
      <c r="F3" s="122"/>
      <c r="G3" s="123"/>
      <c r="H3" s="122"/>
      <c r="I3" s="123"/>
      <c r="J3" s="123"/>
      <c r="K3" s="122"/>
      <c r="L3" s="135"/>
      <c r="M3" s="122"/>
      <c r="N3" s="125">
        <v>510</v>
      </c>
      <c r="O3" s="122"/>
      <c r="P3" s="126" t="s">
        <v>47</v>
      </c>
      <c r="R3" s="68"/>
      <c r="T3" s="81"/>
      <c r="U3" s="96"/>
      <c r="V3" s="81"/>
      <c r="W3" s="68"/>
      <c r="X3" s="81"/>
      <c r="Y3" s="68"/>
      <c r="Z3" s="81"/>
      <c r="AA3" s="68"/>
      <c r="AB3" s="81"/>
      <c r="AC3" s="68"/>
      <c r="AD3" s="81"/>
      <c r="AE3" s="68"/>
      <c r="AF3" s="68"/>
      <c r="AG3" s="68"/>
      <c r="AH3" s="68"/>
      <c r="AI3" s="68"/>
      <c r="AJ3" s="68"/>
      <c r="AK3" s="68"/>
      <c r="AL3" s="68"/>
      <c r="AM3" s="68"/>
      <c r="AN3" s="68"/>
      <c r="AO3" s="68"/>
      <c r="AP3" s="68"/>
      <c r="AQ3" s="68"/>
      <c r="AR3" s="68"/>
      <c r="AS3" s="68"/>
      <c r="AT3" s="68"/>
      <c r="AU3" s="68"/>
      <c r="AV3" s="68"/>
      <c r="AW3" s="68"/>
      <c r="AX3" s="68"/>
      <c r="AY3" s="68"/>
      <c r="AZ3" s="68"/>
      <c r="BA3" s="68"/>
      <c r="BB3" s="68"/>
      <c r="BC3" s="68"/>
      <c r="BD3" s="68"/>
      <c r="BE3" s="68"/>
      <c r="BF3" s="68"/>
      <c r="BG3" s="68"/>
      <c r="BH3" s="68"/>
      <c r="BI3" s="68"/>
      <c r="BJ3" s="68"/>
      <c r="BK3" s="68"/>
      <c r="BL3" s="81"/>
      <c r="BN3" s="23"/>
      <c r="BP3" s="81"/>
      <c r="BR3" s="23">
        <f ca="1">NOW()</f>
        <v>36822.429216898148</v>
      </c>
      <c r="BT3" s="23"/>
      <c r="BV3" s="78" t="str">
        <f>Summary!A5</f>
        <v>Revision # 66</v>
      </c>
    </row>
    <row r="4" spans="1:76" s="18" customFormat="1" ht="15.75">
      <c r="A4" s="94"/>
      <c r="B4" s="19">
        <f>Summary!C13</f>
        <v>509</v>
      </c>
      <c r="C4"/>
      <c r="G4" s="67"/>
      <c r="J4" s="268" t="s">
        <v>47</v>
      </c>
      <c r="L4" s="74"/>
      <c r="N4" s="69"/>
      <c r="O4" s="128" t="s">
        <v>407</v>
      </c>
      <c r="P4" s="69"/>
      <c r="R4" s="68"/>
      <c r="T4" s="81"/>
      <c r="U4" s="96"/>
      <c r="V4" s="82" t="s">
        <v>122</v>
      </c>
      <c r="W4" s="69"/>
      <c r="X4" s="82" t="s">
        <v>122</v>
      </c>
      <c r="Y4" s="69"/>
      <c r="Z4" s="82" t="s">
        <v>122</v>
      </c>
      <c r="AA4" s="69"/>
      <c r="AB4" s="82" t="s">
        <v>122</v>
      </c>
      <c r="AC4" s="69"/>
      <c r="AD4" s="82" t="s">
        <v>122</v>
      </c>
      <c r="AE4" s="69"/>
      <c r="AF4" s="82" t="s">
        <v>122</v>
      </c>
      <c r="AG4" s="69"/>
      <c r="AH4" s="82" t="s">
        <v>122</v>
      </c>
      <c r="AI4" s="69"/>
      <c r="AJ4" s="82" t="s">
        <v>122</v>
      </c>
      <c r="AK4" s="69"/>
      <c r="AL4" s="82" t="s">
        <v>122</v>
      </c>
      <c r="AM4" s="69"/>
      <c r="AN4" s="82" t="s">
        <v>122</v>
      </c>
      <c r="AO4" s="69"/>
      <c r="AP4" s="82" t="s">
        <v>122</v>
      </c>
      <c r="AQ4" s="69"/>
      <c r="AR4" s="82" t="s">
        <v>122</v>
      </c>
      <c r="AS4" s="69"/>
      <c r="AT4" s="82" t="s">
        <v>122</v>
      </c>
      <c r="AU4" s="69"/>
      <c r="AV4" s="82" t="s">
        <v>122</v>
      </c>
      <c r="AW4" s="82"/>
      <c r="AX4" s="82" t="s">
        <v>122</v>
      </c>
      <c r="AY4" s="82"/>
      <c r="AZ4" s="82" t="s">
        <v>122</v>
      </c>
      <c r="BA4" s="82"/>
      <c r="BB4" s="82" t="s">
        <v>122</v>
      </c>
      <c r="BC4" s="82"/>
      <c r="BD4" s="82" t="s">
        <v>122</v>
      </c>
      <c r="BE4" s="82"/>
      <c r="BF4" s="82" t="s">
        <v>122</v>
      </c>
      <c r="BG4" s="82"/>
      <c r="BH4" s="82" t="s">
        <v>122</v>
      </c>
      <c r="BI4" s="82"/>
      <c r="BJ4" s="82" t="s">
        <v>122</v>
      </c>
      <c r="BK4" s="82"/>
      <c r="BL4" s="82" t="s">
        <v>122</v>
      </c>
      <c r="BN4" s="71"/>
      <c r="BP4" s="70" t="s">
        <v>129</v>
      </c>
      <c r="BR4" s="71"/>
      <c r="BT4" s="71"/>
      <c r="BV4" s="71"/>
    </row>
    <row r="5" spans="1:76" s="18" customFormat="1" ht="15.75">
      <c r="A5" s="91"/>
      <c r="G5" s="67"/>
      <c r="J5" s="67"/>
      <c r="L5" s="136" t="s">
        <v>201</v>
      </c>
      <c r="N5" s="70" t="s">
        <v>0</v>
      </c>
      <c r="O5" s="128"/>
      <c r="P5" s="70" t="s">
        <v>130</v>
      </c>
      <c r="R5" s="71" t="s">
        <v>0</v>
      </c>
      <c r="T5" s="82" t="s">
        <v>44</v>
      </c>
      <c r="U5" s="96"/>
      <c r="V5" s="82" t="s">
        <v>123</v>
      </c>
      <c r="W5" s="69"/>
      <c r="X5" s="82" t="s">
        <v>123</v>
      </c>
      <c r="Y5" s="69"/>
      <c r="Z5" s="82" t="s">
        <v>123</v>
      </c>
      <c r="AA5" s="69"/>
      <c r="AB5" s="82" t="s">
        <v>123</v>
      </c>
      <c r="AC5" s="69"/>
      <c r="AD5" s="82" t="s">
        <v>123</v>
      </c>
      <c r="AE5" s="69"/>
      <c r="AF5" s="82" t="s">
        <v>123</v>
      </c>
      <c r="AG5" s="69"/>
      <c r="AH5" s="82" t="s">
        <v>123</v>
      </c>
      <c r="AI5" s="69"/>
      <c r="AJ5" s="82" t="s">
        <v>123</v>
      </c>
      <c r="AK5" s="69"/>
      <c r="AL5" s="82" t="s">
        <v>123</v>
      </c>
      <c r="AM5" s="69"/>
      <c r="AN5" s="82" t="s">
        <v>123</v>
      </c>
      <c r="AO5" s="69"/>
      <c r="AP5" s="82" t="s">
        <v>123</v>
      </c>
      <c r="AQ5" s="69"/>
      <c r="AR5" s="82" t="s">
        <v>123</v>
      </c>
      <c r="AS5" s="69"/>
      <c r="AT5" s="82" t="s">
        <v>123</v>
      </c>
      <c r="AU5" s="69"/>
      <c r="AV5" s="82" t="s">
        <v>123</v>
      </c>
      <c r="AW5" s="82"/>
      <c r="AX5" s="82" t="s">
        <v>123</v>
      </c>
      <c r="AY5" s="82"/>
      <c r="AZ5" s="82" t="s">
        <v>123</v>
      </c>
      <c r="BA5" s="82"/>
      <c r="BB5" s="82" t="s">
        <v>123</v>
      </c>
      <c r="BC5" s="82"/>
      <c r="BD5" s="82" t="s">
        <v>123</v>
      </c>
      <c r="BE5" s="82"/>
      <c r="BF5" s="82" t="s">
        <v>123</v>
      </c>
      <c r="BG5" s="82"/>
      <c r="BH5" s="82" t="s">
        <v>123</v>
      </c>
      <c r="BI5" s="82"/>
      <c r="BJ5" s="82" t="s">
        <v>123</v>
      </c>
      <c r="BK5" s="82"/>
      <c r="BL5" s="82" t="s">
        <v>123</v>
      </c>
      <c r="BN5" s="71" t="s">
        <v>44</v>
      </c>
      <c r="BP5" s="70" t="s">
        <v>130</v>
      </c>
      <c r="BR5" s="71" t="s">
        <v>42</v>
      </c>
      <c r="BT5" s="71" t="s">
        <v>144</v>
      </c>
      <c r="BV5" s="71"/>
    </row>
    <row r="6" spans="1:76" s="18" customFormat="1" ht="15.75">
      <c r="A6" s="91"/>
      <c r="C6" s="76" t="s">
        <v>173</v>
      </c>
      <c r="E6" s="76" t="s">
        <v>1</v>
      </c>
      <c r="G6" s="76" t="s">
        <v>2</v>
      </c>
      <c r="I6" s="76" t="s">
        <v>3</v>
      </c>
      <c r="J6" s="152"/>
      <c r="L6" s="73" t="s">
        <v>202</v>
      </c>
      <c r="N6" s="129" t="s">
        <v>186</v>
      </c>
      <c r="O6" s="128"/>
      <c r="P6" s="129" t="s">
        <v>131</v>
      </c>
      <c r="R6" s="72" t="s">
        <v>43</v>
      </c>
      <c r="T6" s="83">
        <v>36160</v>
      </c>
      <c r="U6" s="96"/>
      <c r="V6" s="83">
        <v>36191</v>
      </c>
      <c r="W6" s="74"/>
      <c r="X6" s="83">
        <v>36219</v>
      </c>
      <c r="Y6" s="74"/>
      <c r="Z6" s="83">
        <v>36250</v>
      </c>
      <c r="AA6" s="74"/>
      <c r="AB6" s="83">
        <v>36280</v>
      </c>
      <c r="AC6" s="74"/>
      <c r="AD6" s="83">
        <v>36311</v>
      </c>
      <c r="AE6" s="74"/>
      <c r="AF6" s="83">
        <v>36341</v>
      </c>
      <c r="AG6" s="74"/>
      <c r="AH6" s="83">
        <v>36372</v>
      </c>
      <c r="AI6" s="74"/>
      <c r="AJ6" s="83">
        <v>36403</v>
      </c>
      <c r="AK6" s="74"/>
      <c r="AL6" s="83" t="s">
        <v>283</v>
      </c>
      <c r="AM6" s="74"/>
      <c r="AN6" s="83">
        <v>36433</v>
      </c>
      <c r="AO6" s="74"/>
      <c r="AP6" s="83">
        <v>36464</v>
      </c>
      <c r="AQ6" s="74"/>
      <c r="AR6" s="83">
        <v>36494</v>
      </c>
      <c r="AS6" s="74"/>
      <c r="AT6" s="83">
        <v>36525</v>
      </c>
      <c r="AU6" s="74"/>
      <c r="AV6" s="83">
        <v>36556</v>
      </c>
      <c r="AW6" s="127"/>
      <c r="AX6" s="83">
        <v>36585</v>
      </c>
      <c r="AY6" s="127"/>
      <c r="AZ6" s="83">
        <v>36616</v>
      </c>
      <c r="BA6" s="127"/>
      <c r="BB6" s="83">
        <v>36646</v>
      </c>
      <c r="BC6" s="127"/>
      <c r="BD6" s="83">
        <v>36677</v>
      </c>
      <c r="BE6" s="127"/>
      <c r="BF6" s="83">
        <v>36707</v>
      </c>
      <c r="BG6" s="127"/>
      <c r="BH6" s="83">
        <v>36738</v>
      </c>
      <c r="BI6" s="127"/>
      <c r="BJ6" s="83">
        <v>36769</v>
      </c>
      <c r="BK6" s="127"/>
      <c r="BL6" s="83">
        <v>36799</v>
      </c>
      <c r="BN6" s="75" t="s">
        <v>126</v>
      </c>
      <c r="BP6" s="73" t="s">
        <v>131</v>
      </c>
      <c r="BR6" s="75" t="s">
        <v>38</v>
      </c>
      <c r="BT6" s="75" t="s">
        <v>145</v>
      </c>
      <c r="BV6" s="75" t="s">
        <v>39</v>
      </c>
      <c r="BX6" s="75" t="s">
        <v>4</v>
      </c>
    </row>
    <row r="7" spans="1:76" s="18" customFormat="1" ht="15.75">
      <c r="A7" s="91"/>
      <c r="B7" s="1"/>
      <c r="C7" s="2"/>
      <c r="G7" s="67"/>
      <c r="J7" s="67"/>
      <c r="L7" s="137"/>
      <c r="N7" s="82" t="e">
        <f>+Summary!#REF!</f>
        <v>#REF!</v>
      </c>
      <c r="O7" s="128"/>
      <c r="P7" s="69"/>
      <c r="R7" s="82" t="str">
        <f>+Summary!E9</f>
        <v>as of 7/22/99</v>
      </c>
      <c r="T7" s="82" t="str">
        <f>+Summary!$O$4</f>
        <v xml:space="preserve"> As of 10/20/00</v>
      </c>
      <c r="U7" s="96"/>
      <c r="V7" s="82" t="str">
        <f>+Summary!$O$4</f>
        <v xml:space="preserve"> As of 10/20/00</v>
      </c>
      <c r="W7" s="69"/>
      <c r="X7" s="82" t="str">
        <f>+Summary!$O$4</f>
        <v xml:space="preserve"> As of 10/20/00</v>
      </c>
      <c r="Y7" s="69"/>
      <c r="Z7" s="82" t="str">
        <f>+Summary!$O$4</f>
        <v xml:space="preserve"> As of 10/20/00</v>
      </c>
      <c r="AA7" s="69"/>
      <c r="AB7" s="82" t="str">
        <f>+Summary!$O$4</f>
        <v xml:space="preserve"> As of 10/20/00</v>
      </c>
      <c r="AC7" s="69"/>
      <c r="AD7" s="82" t="str">
        <f>+Summary!$O$4</f>
        <v xml:space="preserve"> As of 10/20/00</v>
      </c>
      <c r="AE7" s="69"/>
      <c r="AF7" s="82" t="str">
        <f>+Summary!$O$4</f>
        <v xml:space="preserve"> As of 10/20/00</v>
      </c>
      <c r="AG7" s="69"/>
      <c r="AH7" s="82" t="str">
        <f>+Summary!$O$4</f>
        <v xml:space="preserve"> As of 10/20/00</v>
      </c>
      <c r="AI7" s="69"/>
      <c r="AJ7" s="82" t="str">
        <f>+Summary!$O$4</f>
        <v xml:space="preserve"> As of 10/20/00</v>
      </c>
      <c r="AK7" s="69"/>
      <c r="AL7" s="82" t="str">
        <f>+Summary!$O$4</f>
        <v xml:space="preserve"> As of 10/20/00</v>
      </c>
      <c r="AM7" s="69"/>
      <c r="AN7" s="82" t="str">
        <f>+Summary!$O$4</f>
        <v xml:space="preserve"> As of 10/20/00</v>
      </c>
      <c r="AO7" s="69"/>
      <c r="AP7" s="82" t="str">
        <f>+Summary!$O$4</f>
        <v xml:space="preserve"> As of 10/20/00</v>
      </c>
      <c r="AQ7" s="69"/>
      <c r="AR7" s="82" t="str">
        <f>+Summary!$O$4</f>
        <v xml:space="preserve"> As of 10/20/00</v>
      </c>
      <c r="AS7" s="69"/>
      <c r="AT7" s="82" t="str">
        <f>+Summary!$O$4</f>
        <v xml:space="preserve"> As of 10/20/00</v>
      </c>
      <c r="AU7" s="69"/>
      <c r="AV7" s="82" t="str">
        <f>+Summary!$O$4</f>
        <v xml:space="preserve"> As of 10/20/00</v>
      </c>
      <c r="AW7" s="82"/>
      <c r="AX7" s="82" t="str">
        <f>+Summary!$O$4</f>
        <v xml:space="preserve"> As of 10/20/00</v>
      </c>
      <c r="AY7" s="82"/>
      <c r="AZ7" s="82" t="str">
        <f>+Summary!$O$4</f>
        <v xml:space="preserve"> As of 10/20/00</v>
      </c>
      <c r="BA7" s="82"/>
      <c r="BB7" s="82" t="str">
        <f>+Summary!$O$4</f>
        <v xml:space="preserve"> As of 10/20/00</v>
      </c>
      <c r="BC7" s="82"/>
      <c r="BD7" s="82" t="str">
        <f>+Summary!$O$4</f>
        <v xml:space="preserve"> As of 10/20/00</v>
      </c>
      <c r="BE7" s="82"/>
      <c r="BF7" s="82" t="str">
        <f>+Summary!$O$4</f>
        <v xml:space="preserve"> As of 10/20/00</v>
      </c>
      <c r="BG7" s="82"/>
      <c r="BH7" s="82" t="str">
        <f>+Summary!$O$4</f>
        <v xml:space="preserve"> As of 10/20/00</v>
      </c>
      <c r="BI7" s="82"/>
      <c r="BJ7" s="82" t="str">
        <f>+Summary!$O$4</f>
        <v xml:space="preserve"> As of 10/20/00</v>
      </c>
      <c r="BK7" s="82"/>
      <c r="BL7" s="82" t="str">
        <f>+Summary!$O$4</f>
        <v xml:space="preserve"> As of 10/20/00</v>
      </c>
      <c r="BN7" s="71" t="str">
        <f>+Summary!$O$4</f>
        <v xml:space="preserve"> As of 10/20/00</v>
      </c>
      <c r="BP7" s="64" t="str">
        <f>+Summary!$O$4</f>
        <v xml:space="preserve"> As of 10/20/00</v>
      </c>
      <c r="BR7" s="71"/>
      <c r="BT7" s="71"/>
      <c r="BV7" s="71"/>
    </row>
    <row r="8" spans="1:76">
      <c r="A8" s="92" t="s">
        <v>5</v>
      </c>
      <c r="B8" s="17"/>
      <c r="C8" s="55"/>
      <c r="E8" s="4"/>
      <c r="G8" s="4"/>
      <c r="I8" s="4"/>
      <c r="L8" s="138"/>
      <c r="M8" s="6"/>
      <c r="O8" s="6"/>
      <c r="Q8" s="6"/>
      <c r="S8" s="6"/>
      <c r="T8" s="22"/>
      <c r="U8" s="6"/>
      <c r="V8" s="22"/>
      <c r="X8" s="22"/>
      <c r="Z8" s="22"/>
      <c r="AB8" s="22"/>
      <c r="AD8" s="22"/>
      <c r="AF8" s="22"/>
      <c r="AH8" s="22"/>
      <c r="AJ8" s="22"/>
      <c r="AL8" s="22"/>
      <c r="AN8" s="22"/>
      <c r="AP8" s="22"/>
      <c r="AR8" s="22"/>
      <c r="AT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6"/>
      <c r="BO8" s="6"/>
      <c r="BP8" s="22"/>
      <c r="BQ8" s="6"/>
      <c r="BW8" s="6"/>
    </row>
    <row r="9" spans="1:76">
      <c r="A9" s="93"/>
      <c r="B9" s="17" t="s">
        <v>191</v>
      </c>
      <c r="C9"/>
      <c r="D9"/>
      <c r="E9"/>
      <c r="F9"/>
      <c r="G9"/>
      <c r="H9"/>
      <c r="I9"/>
      <c r="J9" s="49" t="s">
        <v>0</v>
      </c>
      <c r="K9"/>
      <c r="L9" s="132" t="s">
        <v>202</v>
      </c>
      <c r="M9" s="6"/>
      <c r="N9" s="6">
        <v>0</v>
      </c>
      <c r="O9" s="6"/>
      <c r="P9" s="6">
        <v>0</v>
      </c>
      <c r="Q9" s="6"/>
      <c r="R9" s="6">
        <v>0</v>
      </c>
      <c r="S9" s="6"/>
      <c r="T9" s="6">
        <f>6170900+3056200+2997700</f>
        <v>12224800</v>
      </c>
      <c r="U9" s="6"/>
      <c r="V9" s="6">
        <f>31276400</f>
        <v>31276400</v>
      </c>
      <c r="X9" s="6">
        <f>3107550</f>
        <v>3107550</v>
      </c>
      <c r="Z9" s="6">
        <v>0</v>
      </c>
      <c r="AB9" s="6">
        <v>3107250</v>
      </c>
      <c r="AD9" s="6">
        <f>6240218.71</f>
        <v>6240218.71</v>
      </c>
      <c r="AF9" s="6">
        <v>0</v>
      </c>
      <c r="AH9" s="6">
        <v>0</v>
      </c>
      <c r="AJ9" s="6">
        <v>393210.9</v>
      </c>
      <c r="AL9" s="6">
        <v>-56349430</v>
      </c>
      <c r="AN9" s="6">
        <v>0</v>
      </c>
      <c r="AP9" s="6">
        <v>0</v>
      </c>
      <c r="AR9" s="6">
        <v>0</v>
      </c>
      <c r="AT9" s="6">
        <v>0</v>
      </c>
      <c r="AV9" s="6">
        <v>0</v>
      </c>
      <c r="AX9" s="6">
        <v>0</v>
      </c>
      <c r="AZ9" s="6">
        <v>0</v>
      </c>
      <c r="BB9" s="6">
        <v>0</v>
      </c>
      <c r="BF9" s="6">
        <v>0</v>
      </c>
      <c r="BH9" s="6">
        <v>0</v>
      </c>
      <c r="BJ9" s="6">
        <v>0</v>
      </c>
      <c r="BL9" s="6">
        <v>0</v>
      </c>
      <c r="BM9" s="6"/>
      <c r="BN9" s="6">
        <f t="shared" ref="BN9:BN14" si="0">SUM(T9:BM9)</f>
        <v>-0.39000000059604645</v>
      </c>
      <c r="BO9" s="6"/>
      <c r="BP9" s="6">
        <v>0</v>
      </c>
      <c r="BQ9" s="6"/>
      <c r="BR9" s="6">
        <f>IF(+R9-BN9+BP9&gt;0,R9-BN9+BP9,0)</f>
        <v>0.39000000059604645</v>
      </c>
      <c r="BT9" s="6">
        <f t="shared" ref="BT9:BT14" si="1">+BN9+BR9</f>
        <v>0</v>
      </c>
      <c r="BV9" s="6">
        <f t="shared" ref="BV9:BV15" si="2">+R9-BT9</f>
        <v>0</v>
      </c>
      <c r="BW9" s="6"/>
    </row>
    <row r="10" spans="1:76">
      <c r="A10" s="93"/>
      <c r="B10" s="17" t="s">
        <v>192</v>
      </c>
      <c r="C10"/>
      <c r="D10"/>
      <c r="E10"/>
      <c r="F10"/>
      <c r="G10"/>
      <c r="H10"/>
      <c r="I10"/>
      <c r="J10" s="49" t="s">
        <v>0</v>
      </c>
      <c r="K10"/>
      <c r="L10" s="132" t="s">
        <v>202</v>
      </c>
      <c r="M10" s="6"/>
      <c r="N10" s="6">
        <v>0</v>
      </c>
      <c r="O10" s="6"/>
      <c r="P10" s="6">
        <v>0</v>
      </c>
      <c r="Q10" s="6"/>
      <c r="R10" s="6">
        <v>0</v>
      </c>
      <c r="S10" s="6"/>
      <c r="T10" s="6">
        <f>6237000+3030000+7884750</f>
        <v>17151750</v>
      </c>
      <c r="U10" s="6"/>
      <c r="V10" s="6">
        <v>12474000</v>
      </c>
      <c r="X10" s="6">
        <v>0</v>
      </c>
      <c r="Z10" s="6"/>
      <c r="AB10" s="6"/>
      <c r="AD10" s="6"/>
      <c r="AF10" s="6">
        <v>0</v>
      </c>
      <c r="AH10" s="6">
        <v>0</v>
      </c>
      <c r="AJ10" s="6">
        <v>0</v>
      </c>
      <c r="AL10" s="6">
        <v>-29625750</v>
      </c>
      <c r="AN10" s="6">
        <v>0</v>
      </c>
      <c r="AP10" s="6">
        <v>0</v>
      </c>
      <c r="AR10" s="6">
        <v>0</v>
      </c>
      <c r="AT10" s="6">
        <v>0</v>
      </c>
      <c r="AV10" s="6">
        <v>0</v>
      </c>
      <c r="AX10" s="6">
        <v>0</v>
      </c>
      <c r="AZ10" s="6">
        <v>0</v>
      </c>
      <c r="BB10" s="6">
        <v>0</v>
      </c>
      <c r="BD10" s="6">
        <v>0</v>
      </c>
      <c r="BF10" s="6">
        <v>0</v>
      </c>
      <c r="BH10" s="6">
        <v>0</v>
      </c>
      <c r="BJ10" s="6">
        <v>0</v>
      </c>
      <c r="BL10" s="6">
        <v>0</v>
      </c>
      <c r="BM10" s="6"/>
      <c r="BN10" s="6">
        <f>SUM(T10:BM10)</f>
        <v>0</v>
      </c>
      <c r="BO10" s="6"/>
      <c r="BP10" s="6">
        <v>0</v>
      </c>
      <c r="BQ10" s="6"/>
      <c r="BR10" s="6">
        <f t="shared" ref="BR10:BR15" si="3">IF(+R10-BN10+BP10&gt;0,R10-BN10+BP10,0)</f>
        <v>0</v>
      </c>
      <c r="BT10" s="6">
        <f t="shared" si="1"/>
        <v>0</v>
      </c>
      <c r="BV10" s="6">
        <f t="shared" si="2"/>
        <v>0</v>
      </c>
      <c r="BW10" s="6"/>
    </row>
    <row r="11" spans="1:76" hidden="1">
      <c r="A11" s="93"/>
      <c r="B11" s="17" t="s">
        <v>171</v>
      </c>
      <c r="C11"/>
      <c r="D11"/>
      <c r="E11"/>
      <c r="F11"/>
      <c r="G11"/>
      <c r="H11"/>
      <c r="I11"/>
      <c r="J11" s="49" t="s">
        <v>0</v>
      </c>
      <c r="K11"/>
      <c r="L11" s="132" t="s">
        <v>202</v>
      </c>
      <c r="M11" s="6"/>
      <c r="N11" s="6">
        <v>0</v>
      </c>
      <c r="O11" s="6"/>
      <c r="P11" s="6">
        <v>0</v>
      </c>
      <c r="Q11" s="6"/>
      <c r="R11" s="6">
        <f>+N11+P11</f>
        <v>0</v>
      </c>
      <c r="S11" s="6"/>
      <c r="T11" s="6">
        <v>0</v>
      </c>
      <c r="U11" s="6"/>
      <c r="V11" s="6">
        <v>0</v>
      </c>
      <c r="X11" s="6">
        <v>0</v>
      </c>
      <c r="Z11" s="6">
        <v>0</v>
      </c>
      <c r="AB11" s="6">
        <v>0</v>
      </c>
      <c r="AD11" s="6">
        <v>0</v>
      </c>
      <c r="AF11" s="6">
        <v>0</v>
      </c>
      <c r="AH11" s="6">
        <v>0</v>
      </c>
      <c r="AJ11" s="6">
        <v>0</v>
      </c>
      <c r="AN11" s="6">
        <v>0</v>
      </c>
      <c r="AP11" s="6">
        <v>0</v>
      </c>
      <c r="AR11" s="6">
        <v>0</v>
      </c>
      <c r="AT11" s="6">
        <v>0</v>
      </c>
      <c r="AV11" s="6">
        <v>0</v>
      </c>
      <c r="AX11" s="6">
        <v>0</v>
      </c>
      <c r="AZ11" s="6">
        <v>0</v>
      </c>
      <c r="BB11" s="6">
        <v>0</v>
      </c>
      <c r="BD11" s="6">
        <v>0</v>
      </c>
      <c r="BF11" s="6">
        <v>0</v>
      </c>
      <c r="BH11" s="6">
        <v>0</v>
      </c>
      <c r="BJ11" s="6">
        <v>0</v>
      </c>
      <c r="BL11" s="6">
        <v>0</v>
      </c>
      <c r="BM11" s="6"/>
      <c r="BN11" s="6">
        <f t="shared" si="0"/>
        <v>0</v>
      </c>
      <c r="BO11" s="6"/>
      <c r="BP11" s="6">
        <v>0</v>
      </c>
      <c r="BQ11" s="6"/>
      <c r="BR11" s="6">
        <f t="shared" si="3"/>
        <v>0</v>
      </c>
      <c r="BT11" s="6">
        <f t="shared" si="1"/>
        <v>0</v>
      </c>
      <c r="BV11" s="6">
        <f t="shared" si="2"/>
        <v>0</v>
      </c>
      <c r="BW11" s="6"/>
    </row>
    <row r="12" spans="1:76" hidden="1">
      <c r="A12" s="93"/>
      <c r="B12" s="17" t="s">
        <v>172</v>
      </c>
      <c r="C12"/>
      <c r="D12"/>
      <c r="E12"/>
      <c r="F12"/>
      <c r="G12"/>
      <c r="H12"/>
      <c r="I12"/>
      <c r="J12" s="49" t="s">
        <v>0</v>
      </c>
      <c r="K12"/>
      <c r="L12" s="132" t="s">
        <v>202</v>
      </c>
      <c r="M12" s="6"/>
      <c r="N12" s="6">
        <v>0</v>
      </c>
      <c r="O12" s="6"/>
      <c r="P12" s="6">
        <v>0</v>
      </c>
      <c r="Q12" s="6"/>
      <c r="R12" s="6">
        <f>+N12+P12</f>
        <v>0</v>
      </c>
      <c r="S12" s="6"/>
      <c r="T12" s="6">
        <v>0</v>
      </c>
      <c r="U12" s="6"/>
      <c r="V12" s="6">
        <v>0</v>
      </c>
      <c r="X12" s="6">
        <v>0</v>
      </c>
      <c r="Z12" s="6">
        <v>0</v>
      </c>
      <c r="AB12" s="6">
        <v>0</v>
      </c>
      <c r="AD12" s="6">
        <v>0</v>
      </c>
      <c r="AF12" s="6">
        <v>0</v>
      </c>
      <c r="AH12" s="6">
        <v>0</v>
      </c>
      <c r="AJ12" s="6">
        <v>0</v>
      </c>
      <c r="AN12" s="6">
        <v>0</v>
      </c>
      <c r="AP12" s="6">
        <v>0</v>
      </c>
      <c r="AR12" s="6">
        <v>0</v>
      </c>
      <c r="AT12" s="6">
        <v>0</v>
      </c>
      <c r="AV12" s="6">
        <v>0</v>
      </c>
      <c r="AX12" s="6">
        <v>0</v>
      </c>
      <c r="AZ12" s="6">
        <v>0</v>
      </c>
      <c r="BB12" s="6">
        <v>0</v>
      </c>
      <c r="BD12" s="6">
        <v>0</v>
      </c>
      <c r="BF12" s="6">
        <v>0</v>
      </c>
      <c r="BH12" s="6">
        <v>0</v>
      </c>
      <c r="BJ12" s="6">
        <v>0</v>
      </c>
      <c r="BL12" s="6">
        <v>0</v>
      </c>
      <c r="BM12" s="6"/>
      <c r="BN12" s="6">
        <f t="shared" si="0"/>
        <v>0</v>
      </c>
      <c r="BO12" s="6"/>
      <c r="BP12" s="6">
        <v>0</v>
      </c>
      <c r="BQ12" s="6"/>
      <c r="BR12" s="6">
        <f t="shared" si="3"/>
        <v>0</v>
      </c>
      <c r="BT12" s="6">
        <f t="shared" si="1"/>
        <v>0</v>
      </c>
      <c r="BV12" s="6">
        <f t="shared" si="2"/>
        <v>0</v>
      </c>
      <c r="BW12" s="6"/>
    </row>
    <row r="13" spans="1:76" hidden="1">
      <c r="A13" s="93"/>
      <c r="B13" s="17" t="s">
        <v>6</v>
      </c>
      <c r="C13"/>
      <c r="D13"/>
      <c r="E13"/>
      <c r="F13"/>
      <c r="G13"/>
      <c r="H13"/>
      <c r="I13"/>
      <c r="J13" s="49" t="s">
        <v>0</v>
      </c>
      <c r="K13"/>
      <c r="L13" s="132" t="s">
        <v>202</v>
      </c>
      <c r="M13" s="6"/>
      <c r="N13" s="6">
        <v>0</v>
      </c>
      <c r="O13" s="6"/>
      <c r="P13" s="6">
        <v>0</v>
      </c>
      <c r="Q13" s="6"/>
      <c r="R13" s="6">
        <f>+N13+P13</f>
        <v>0</v>
      </c>
      <c r="S13" s="6"/>
      <c r="T13" s="6">
        <v>0</v>
      </c>
      <c r="U13" s="6"/>
      <c r="V13" s="6">
        <v>0</v>
      </c>
      <c r="X13" s="6">
        <v>0</v>
      </c>
      <c r="Z13" s="6">
        <v>0</v>
      </c>
      <c r="AB13" s="6">
        <v>0</v>
      </c>
      <c r="AD13" s="6">
        <v>0</v>
      </c>
      <c r="AF13" s="6">
        <v>0</v>
      </c>
      <c r="AH13" s="6">
        <v>0</v>
      </c>
      <c r="AJ13" s="6">
        <v>0</v>
      </c>
      <c r="AN13" s="6">
        <v>0</v>
      </c>
      <c r="AP13" s="6">
        <v>0</v>
      </c>
      <c r="AR13" s="6">
        <v>0</v>
      </c>
      <c r="AT13" s="6">
        <v>0</v>
      </c>
      <c r="AV13" s="6">
        <v>0</v>
      </c>
      <c r="AX13" s="6">
        <v>0</v>
      </c>
      <c r="AZ13" s="6">
        <v>0</v>
      </c>
      <c r="BB13" s="6">
        <v>0</v>
      </c>
      <c r="BD13" s="6">
        <v>0</v>
      </c>
      <c r="BF13" s="6">
        <v>0</v>
      </c>
      <c r="BH13" s="6">
        <v>0</v>
      </c>
      <c r="BJ13" s="6">
        <v>0</v>
      </c>
      <c r="BL13" s="6">
        <v>0</v>
      </c>
      <c r="BM13" s="6"/>
      <c r="BN13" s="6">
        <f t="shared" si="0"/>
        <v>0</v>
      </c>
      <c r="BO13" s="6"/>
      <c r="BP13" s="6">
        <v>0</v>
      </c>
      <c r="BQ13" s="6"/>
      <c r="BR13" s="6">
        <f t="shared" si="3"/>
        <v>0</v>
      </c>
      <c r="BT13" s="6">
        <f t="shared" si="1"/>
        <v>0</v>
      </c>
      <c r="BV13" s="6">
        <f t="shared" si="2"/>
        <v>0</v>
      </c>
      <c r="BW13" s="6"/>
    </row>
    <row r="14" spans="1:76">
      <c r="A14" s="93"/>
      <c r="B14" s="17" t="s">
        <v>121</v>
      </c>
      <c r="C14"/>
      <c r="D14"/>
      <c r="E14"/>
      <c r="F14"/>
      <c r="G14"/>
      <c r="H14"/>
      <c r="I14"/>
      <c r="J14" s="49" t="s">
        <v>0</v>
      </c>
      <c r="K14"/>
      <c r="L14" s="132" t="s">
        <v>202</v>
      </c>
      <c r="M14" s="6"/>
      <c r="N14" s="6">
        <v>93330000</v>
      </c>
      <c r="O14" s="6"/>
      <c r="P14" s="6">
        <v>0</v>
      </c>
      <c r="Q14" s="6"/>
      <c r="R14" s="6">
        <v>0</v>
      </c>
      <c r="S14" s="6"/>
      <c r="T14" s="6">
        <v>0</v>
      </c>
      <c r="U14" s="6"/>
      <c r="V14" s="6">
        <v>0</v>
      </c>
      <c r="X14" s="6">
        <v>0</v>
      </c>
      <c r="Z14" s="6">
        <v>0</v>
      </c>
      <c r="AB14" s="6">
        <v>0</v>
      </c>
      <c r="AD14" s="6">
        <v>0</v>
      </c>
      <c r="AF14" s="6">
        <v>0</v>
      </c>
      <c r="AH14" s="6">
        <v>107199.47</v>
      </c>
      <c r="AJ14" s="6">
        <v>0</v>
      </c>
      <c r="AL14" s="6">
        <v>-107199</v>
      </c>
      <c r="AN14" s="6">
        <v>0</v>
      </c>
      <c r="AP14" s="6">
        <v>0</v>
      </c>
      <c r="AR14" s="6">
        <v>0</v>
      </c>
      <c r="AT14" s="6">
        <v>0</v>
      </c>
      <c r="AV14" s="6">
        <v>0</v>
      </c>
      <c r="AX14" s="6">
        <v>0</v>
      </c>
      <c r="AZ14" s="6">
        <v>0</v>
      </c>
      <c r="BB14" s="6">
        <v>0</v>
      </c>
      <c r="BD14" s="6">
        <v>0</v>
      </c>
      <c r="BF14" s="6">
        <v>0</v>
      </c>
      <c r="BH14" s="6">
        <v>0</v>
      </c>
      <c r="BJ14" s="6">
        <v>0</v>
      </c>
      <c r="BL14" s="6">
        <v>0</v>
      </c>
      <c r="BM14" s="6"/>
      <c r="BN14" s="6">
        <f t="shared" si="0"/>
        <v>0.47000000000116415</v>
      </c>
      <c r="BO14" s="6"/>
      <c r="BP14" s="6">
        <v>0</v>
      </c>
      <c r="BQ14" s="6"/>
      <c r="BR14" s="6">
        <f t="shared" si="3"/>
        <v>0</v>
      </c>
      <c r="BT14" s="6">
        <f t="shared" si="1"/>
        <v>0.47000000000116415</v>
      </c>
      <c r="BV14" s="6">
        <f t="shared" si="2"/>
        <v>-0.47000000000116415</v>
      </c>
      <c r="BW14" s="6"/>
    </row>
    <row r="15" spans="1:76">
      <c r="A15" s="93"/>
      <c r="B15" s="17"/>
      <c r="C15"/>
      <c r="D15"/>
      <c r="E15"/>
      <c r="F15"/>
      <c r="G15"/>
      <c r="H15"/>
      <c r="I15"/>
      <c r="J15" s="49"/>
      <c r="K15"/>
      <c r="L15" s="132"/>
      <c r="M15" s="6"/>
      <c r="N15" s="12"/>
      <c r="O15" s="6"/>
      <c r="P15" s="12"/>
      <c r="Q15" s="6"/>
      <c r="R15" s="12"/>
      <c r="S15" s="6"/>
      <c r="T15" s="12"/>
      <c r="U15" s="6"/>
      <c r="V15" s="12"/>
      <c r="X15" s="12"/>
      <c r="Z15" s="12"/>
      <c r="AB15" s="12"/>
      <c r="AD15" s="12"/>
      <c r="AF15" s="12"/>
      <c r="AH15" s="12"/>
      <c r="AJ15" s="12"/>
      <c r="AL15" s="12"/>
      <c r="AN15" s="12"/>
      <c r="AP15" s="12"/>
      <c r="AR15" s="12"/>
      <c r="AT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6"/>
      <c r="BN15" s="12"/>
      <c r="BO15" s="6"/>
      <c r="BP15" s="12"/>
      <c r="BQ15" s="6"/>
      <c r="BR15" s="6">
        <f t="shared" si="3"/>
        <v>0</v>
      </c>
      <c r="BT15" s="12"/>
      <c r="BV15" s="6">
        <f t="shared" si="2"/>
        <v>0</v>
      </c>
      <c r="BW15" s="6"/>
    </row>
    <row r="16" spans="1:76">
      <c r="A16" s="93"/>
      <c r="B16" s="17" t="s">
        <v>195</v>
      </c>
      <c r="C16"/>
      <c r="D16"/>
      <c r="E16"/>
      <c r="F16"/>
      <c r="G16"/>
      <c r="H16"/>
      <c r="I16"/>
      <c r="J16" s="49"/>
      <c r="K16"/>
      <c r="L16" s="132"/>
      <c r="M16" s="6"/>
      <c r="N16" s="101">
        <f>SUM(N9:N15)</f>
        <v>93330000</v>
      </c>
      <c r="O16" s="6"/>
      <c r="P16" s="101">
        <f>SUM(P9:P15)</f>
        <v>0</v>
      </c>
      <c r="Q16" s="6"/>
      <c r="R16" s="101">
        <f>SUM(R9:R15)</f>
        <v>0</v>
      </c>
      <c r="S16" s="6"/>
      <c r="T16" s="101">
        <f>SUM(T9:T15)</f>
        <v>29376550</v>
      </c>
      <c r="U16" s="6"/>
      <c r="V16" s="101">
        <f>SUM(V9:V15)</f>
        <v>43750400</v>
      </c>
      <c r="X16" s="101">
        <f>SUM(X9:X15)</f>
        <v>3107550</v>
      </c>
      <c r="Z16" s="101">
        <f>SUM(Z9:Z15)</f>
        <v>0</v>
      </c>
      <c r="AB16" s="101">
        <f>SUM(AB9:AB15)</f>
        <v>3107250</v>
      </c>
      <c r="AD16" s="101">
        <f>SUM(AD9:AD15)</f>
        <v>6240218.71</v>
      </c>
      <c r="AF16" s="101">
        <f>SUM(AF9:AF15)</f>
        <v>0</v>
      </c>
      <c r="AH16" s="101">
        <f>SUM(AH9:AH15)</f>
        <v>107199.47</v>
      </c>
      <c r="AJ16" s="101">
        <f>SUM(AJ9:AJ15)</f>
        <v>393210.9</v>
      </c>
      <c r="AL16" s="101">
        <f>SUM(AL9:AL15)</f>
        <v>-86082379</v>
      </c>
      <c r="AM16" s="101"/>
      <c r="AN16" s="101">
        <f>SUM(AN9:AN15)</f>
        <v>0</v>
      </c>
      <c r="AP16" s="101">
        <f>SUM(AP9:AP15)</f>
        <v>0</v>
      </c>
      <c r="AR16" s="101">
        <f>SUM(AR9:AR15)</f>
        <v>0</v>
      </c>
      <c r="AT16" s="101">
        <f>SUM(AT9:AT15)</f>
        <v>0</v>
      </c>
      <c r="AV16" s="101">
        <f>SUM(AV9:AV15)</f>
        <v>0</v>
      </c>
      <c r="AW16" s="12"/>
      <c r="AX16" s="101">
        <f>SUM(AX9:AX15)</f>
        <v>0</v>
      </c>
      <c r="AY16" s="12"/>
      <c r="AZ16" s="101">
        <f>SUM(AZ9:AZ15)</f>
        <v>0</v>
      </c>
      <c r="BA16" s="12"/>
      <c r="BB16" s="101">
        <f>SUM(BB9:BB15)</f>
        <v>0</v>
      </c>
      <c r="BC16" s="12"/>
      <c r="BD16" s="101">
        <f>SUM(BD9:BD15)</f>
        <v>0</v>
      </c>
      <c r="BE16" s="12"/>
      <c r="BF16" s="101">
        <f>SUM(BF9:BF15)</f>
        <v>0</v>
      </c>
      <c r="BG16" s="12"/>
      <c r="BH16" s="101">
        <f>SUM(BH9:BH15)</f>
        <v>0</v>
      </c>
      <c r="BI16" s="12"/>
      <c r="BJ16" s="101">
        <f>SUM(BJ9:BJ15)</f>
        <v>0</v>
      </c>
      <c r="BK16" s="12"/>
      <c r="BL16" s="101">
        <f>SUM(BL9:BL15)</f>
        <v>0</v>
      </c>
      <c r="BM16" s="6"/>
      <c r="BN16" s="101">
        <f>SUM(BN9:BN15)</f>
        <v>7.9999999405117705E-2</v>
      </c>
      <c r="BO16" s="6"/>
      <c r="BP16" s="101">
        <f>SUM(BP9:BP15)</f>
        <v>0</v>
      </c>
      <c r="BQ16" s="6"/>
      <c r="BR16" s="101">
        <f>SUM(BR9:BR15)</f>
        <v>0.39000000059604645</v>
      </c>
      <c r="BT16" s="101">
        <f>SUM(BT9:BT15)</f>
        <v>0.47000000000116415</v>
      </c>
      <c r="BV16" s="101">
        <f>SUM(BV9:BV15)</f>
        <v>-0.47000000000116415</v>
      </c>
      <c r="BW16" s="6"/>
    </row>
    <row r="17" spans="1:75">
      <c r="A17" s="93"/>
      <c r="B17" s="17"/>
      <c r="C17"/>
      <c r="D17"/>
      <c r="E17"/>
      <c r="F17"/>
      <c r="G17"/>
      <c r="H17"/>
      <c r="I17"/>
      <c r="J17" s="49"/>
      <c r="K17"/>
      <c r="L17" s="132"/>
      <c r="M17" s="6"/>
      <c r="O17" s="6"/>
      <c r="Q17" s="6"/>
      <c r="S17" s="6"/>
      <c r="T17" s="6"/>
      <c r="U17" s="6"/>
      <c r="V17" s="6"/>
      <c r="X17" s="6"/>
      <c r="Z17" s="6"/>
      <c r="AB17" s="6"/>
      <c r="AD17" s="6"/>
      <c r="BL17" s="6"/>
      <c r="BM17" s="6"/>
      <c r="BO17" s="6"/>
      <c r="BP17" s="6"/>
      <c r="BQ17" s="6"/>
      <c r="BW17" s="6"/>
    </row>
    <row r="18" spans="1:75" hidden="1">
      <c r="A18" s="93"/>
      <c r="B18" s="17" t="s">
        <v>26</v>
      </c>
      <c r="C18"/>
      <c r="D18"/>
      <c r="E18"/>
      <c r="F18"/>
      <c r="G18"/>
      <c r="H18"/>
      <c r="I18"/>
      <c r="J18" s="49"/>
      <c r="K18"/>
      <c r="L18" s="132" t="s">
        <v>202</v>
      </c>
      <c r="M18" s="6"/>
      <c r="N18" s="6">
        <v>0</v>
      </c>
      <c r="O18" s="6"/>
      <c r="P18" s="6">
        <v>0</v>
      </c>
      <c r="Q18" s="6"/>
      <c r="R18" s="6">
        <f t="shared" ref="R18:R32" si="4">+N18+P18</f>
        <v>0</v>
      </c>
      <c r="S18" s="6"/>
      <c r="T18" s="6">
        <v>0</v>
      </c>
      <c r="U18" s="6"/>
      <c r="V18" s="6">
        <v>0</v>
      </c>
      <c r="X18" s="6">
        <v>0</v>
      </c>
      <c r="Z18" s="6">
        <v>0</v>
      </c>
      <c r="AB18" s="6">
        <v>0</v>
      </c>
      <c r="AD18" s="6">
        <v>0</v>
      </c>
      <c r="AF18" s="6">
        <v>0</v>
      </c>
      <c r="AH18" s="6">
        <v>0</v>
      </c>
      <c r="AJ18" s="6">
        <v>0</v>
      </c>
      <c r="AN18" s="6">
        <v>0</v>
      </c>
      <c r="AP18" s="6">
        <v>0</v>
      </c>
      <c r="AR18" s="6">
        <v>0</v>
      </c>
      <c r="AT18" s="6">
        <v>0</v>
      </c>
      <c r="AV18" s="6">
        <v>0</v>
      </c>
      <c r="AX18" s="6">
        <v>0</v>
      </c>
      <c r="AZ18" s="6">
        <v>0</v>
      </c>
      <c r="BB18" s="6">
        <v>0</v>
      </c>
      <c r="BD18" s="6">
        <v>0</v>
      </c>
      <c r="BF18" s="6">
        <v>0</v>
      </c>
      <c r="BH18" s="6">
        <v>0</v>
      </c>
      <c r="BJ18" s="6">
        <v>0</v>
      </c>
      <c r="BL18" s="6">
        <v>0</v>
      </c>
      <c r="BM18" s="6"/>
      <c r="BN18" s="6">
        <f t="shared" ref="BN18:BN33" si="5">SUM(T18:BM18)</f>
        <v>0</v>
      </c>
      <c r="BO18" s="6"/>
      <c r="BP18" s="6">
        <v>0</v>
      </c>
      <c r="BQ18" s="6"/>
      <c r="BR18" s="6">
        <f>+R18-BN18+BP18</f>
        <v>0</v>
      </c>
      <c r="BT18" s="6">
        <f>+BN18+BR18</f>
        <v>0</v>
      </c>
      <c r="BV18" s="6">
        <f>+R18-BT18</f>
        <v>0</v>
      </c>
      <c r="BW18" s="6"/>
    </row>
    <row r="19" spans="1:75">
      <c r="A19" s="57"/>
      <c r="B19" s="17" t="s">
        <v>221</v>
      </c>
      <c r="C19"/>
      <c r="D19"/>
      <c r="E19"/>
      <c r="F19"/>
      <c r="G19"/>
      <c r="H19"/>
      <c r="I19"/>
      <c r="J19" s="49" t="s">
        <v>0</v>
      </c>
      <c r="K19"/>
      <c r="L19" s="132" t="s">
        <v>202</v>
      </c>
      <c r="M19" s="6"/>
      <c r="N19" s="6">
        <v>0</v>
      </c>
      <c r="O19" s="6"/>
      <c r="P19" s="6">
        <v>0</v>
      </c>
      <c r="Q19" s="6"/>
      <c r="R19" s="6">
        <v>0</v>
      </c>
      <c r="S19" s="6"/>
      <c r="T19" s="6">
        <v>0</v>
      </c>
      <c r="U19" s="6"/>
      <c r="V19" s="6">
        <v>0</v>
      </c>
      <c r="X19" s="6">
        <v>0</v>
      </c>
      <c r="Z19" s="6">
        <v>0</v>
      </c>
      <c r="AB19" s="6">
        <v>0</v>
      </c>
      <c r="AD19" s="6">
        <v>0</v>
      </c>
      <c r="AF19" s="6">
        <v>0</v>
      </c>
      <c r="AH19" s="6">
        <v>293460.55</v>
      </c>
      <c r="AJ19" s="6">
        <v>883701.65</v>
      </c>
      <c r="AL19" s="6">
        <v>-1177162</v>
      </c>
      <c r="AN19" s="6">
        <v>0</v>
      </c>
      <c r="AP19" s="6">
        <v>0</v>
      </c>
      <c r="AR19" s="6">
        <v>0</v>
      </c>
      <c r="AT19" s="6">
        <v>0</v>
      </c>
      <c r="AV19" s="6">
        <v>0</v>
      </c>
      <c r="AX19" s="6">
        <v>0</v>
      </c>
      <c r="AZ19" s="6">
        <v>0</v>
      </c>
      <c r="BB19" s="6">
        <v>0</v>
      </c>
      <c r="BF19" s="6">
        <v>0</v>
      </c>
      <c r="BH19" s="6">
        <v>0</v>
      </c>
      <c r="BJ19" s="6">
        <v>0</v>
      </c>
      <c r="BL19" s="6">
        <v>0</v>
      </c>
      <c r="BM19" s="6"/>
      <c r="BN19" s="6">
        <f t="shared" si="5"/>
        <v>0.19999999995343387</v>
      </c>
      <c r="BO19" s="6"/>
      <c r="BP19" s="6">
        <v>0</v>
      </c>
      <c r="BQ19" s="6"/>
      <c r="BR19" s="6">
        <f t="shared" ref="BR19:BR34" si="6">IF(+R19-BN19+BP19&gt;0,R19-BN19+BP19,0)</f>
        <v>0</v>
      </c>
      <c r="BT19" s="6">
        <f>+BN19+BR19</f>
        <v>0.19999999995343387</v>
      </c>
      <c r="BV19" s="6">
        <f>+R19-BT19</f>
        <v>-0.19999999995343387</v>
      </c>
      <c r="BW19" s="6"/>
    </row>
    <row r="20" spans="1:75">
      <c r="A20" s="57"/>
      <c r="B20" s="17" t="s">
        <v>224</v>
      </c>
      <c r="C20"/>
      <c r="D20"/>
      <c r="E20"/>
      <c r="F20"/>
      <c r="G20"/>
      <c r="H20"/>
      <c r="I20"/>
      <c r="J20" s="49" t="s">
        <v>0</v>
      </c>
      <c r="K20"/>
      <c r="L20" s="132" t="s">
        <v>202</v>
      </c>
      <c r="M20" s="6"/>
      <c r="O20" s="6"/>
      <c r="Q20" s="6"/>
      <c r="R20" s="6">
        <v>0</v>
      </c>
      <c r="S20" s="6"/>
      <c r="T20" s="6"/>
      <c r="U20" s="6"/>
      <c r="V20" s="6"/>
      <c r="X20" s="6"/>
      <c r="Z20" s="6"/>
      <c r="AB20" s="6"/>
      <c r="AD20" s="6"/>
      <c r="BL20" s="6"/>
      <c r="BM20" s="6"/>
      <c r="BO20" s="6"/>
      <c r="BP20" s="6"/>
      <c r="BQ20" s="6"/>
      <c r="BR20" s="6">
        <f t="shared" si="6"/>
        <v>0</v>
      </c>
      <c r="BT20" s="6">
        <f t="shared" ref="BT20:BT34" si="7">+BN20+BR20</f>
        <v>0</v>
      </c>
      <c r="BV20" s="6">
        <f t="shared" ref="BV20:BV34" si="8">+R20-BT20</f>
        <v>0</v>
      </c>
      <c r="BW20" s="6"/>
    </row>
    <row r="21" spans="1:75">
      <c r="A21" s="57"/>
      <c r="B21" s="17" t="s">
        <v>225</v>
      </c>
      <c r="C21"/>
      <c r="D21"/>
      <c r="E21"/>
      <c r="F21"/>
      <c r="G21"/>
      <c r="H21"/>
      <c r="I21"/>
      <c r="J21" s="49" t="s">
        <v>0</v>
      </c>
      <c r="K21"/>
      <c r="L21" s="132" t="s">
        <v>202</v>
      </c>
      <c r="M21" s="6"/>
      <c r="O21" s="6"/>
      <c r="Q21" s="6"/>
      <c r="S21" s="6"/>
      <c r="T21" s="6"/>
      <c r="U21" s="6"/>
      <c r="V21" s="6"/>
      <c r="X21" s="6"/>
      <c r="Z21" s="6"/>
      <c r="AB21" s="6"/>
      <c r="AD21" s="6"/>
      <c r="BL21" s="6"/>
      <c r="BM21" s="6"/>
      <c r="BO21" s="6"/>
      <c r="BP21" s="6"/>
      <c r="BQ21" s="6"/>
      <c r="BR21" s="6">
        <f t="shared" si="6"/>
        <v>0</v>
      </c>
      <c r="BT21" s="6">
        <f t="shared" si="7"/>
        <v>0</v>
      </c>
      <c r="BV21" s="6">
        <f t="shared" si="8"/>
        <v>0</v>
      </c>
      <c r="BW21" s="6"/>
    </row>
    <row r="22" spans="1:75">
      <c r="A22" s="57"/>
      <c r="B22" s="17" t="s">
        <v>222</v>
      </c>
      <c r="C22"/>
      <c r="D22"/>
      <c r="E22"/>
      <c r="F22"/>
      <c r="G22"/>
      <c r="H22"/>
      <c r="I22"/>
      <c r="J22" s="49" t="s">
        <v>0</v>
      </c>
      <c r="K22"/>
      <c r="L22" s="132" t="s">
        <v>202</v>
      </c>
      <c r="M22" s="6"/>
      <c r="O22" s="6"/>
      <c r="Q22" s="6"/>
      <c r="S22" s="6"/>
      <c r="T22" s="6"/>
      <c r="U22" s="6"/>
      <c r="V22" s="6"/>
      <c r="X22" s="6"/>
      <c r="Z22" s="6"/>
      <c r="AB22" s="6"/>
      <c r="AD22" s="6"/>
      <c r="BL22" s="6"/>
      <c r="BM22" s="6"/>
      <c r="BO22" s="6"/>
      <c r="BP22" s="6"/>
      <c r="BQ22" s="6"/>
      <c r="BR22" s="6">
        <f t="shared" si="6"/>
        <v>0</v>
      </c>
      <c r="BT22" s="6">
        <f t="shared" si="7"/>
        <v>0</v>
      </c>
      <c r="BV22" s="6">
        <f t="shared" si="8"/>
        <v>0</v>
      </c>
      <c r="BW22" s="6"/>
    </row>
    <row r="23" spans="1:75">
      <c r="A23" s="57"/>
      <c r="B23" s="17" t="s">
        <v>223</v>
      </c>
      <c r="C23"/>
      <c r="D23"/>
      <c r="E23"/>
      <c r="F23"/>
      <c r="G23"/>
      <c r="H23"/>
      <c r="I23"/>
      <c r="J23" s="49" t="s">
        <v>0</v>
      </c>
      <c r="K23"/>
      <c r="L23" s="132" t="s">
        <v>202</v>
      </c>
      <c r="M23" s="6"/>
      <c r="O23" s="6"/>
      <c r="Q23" s="6"/>
      <c r="S23" s="6"/>
      <c r="T23" s="6"/>
      <c r="U23" s="6"/>
      <c r="V23" s="6"/>
      <c r="X23" s="6"/>
      <c r="Z23" s="6"/>
      <c r="AB23" s="6"/>
      <c r="AD23" s="6"/>
      <c r="BL23" s="6"/>
      <c r="BM23" s="6"/>
      <c r="BO23" s="6"/>
      <c r="BP23" s="6"/>
      <c r="BQ23" s="6"/>
      <c r="BR23" s="6">
        <f t="shared" si="6"/>
        <v>0</v>
      </c>
      <c r="BT23" s="6">
        <f t="shared" si="7"/>
        <v>0</v>
      </c>
      <c r="BV23" s="6">
        <f t="shared" si="8"/>
        <v>0</v>
      </c>
      <c r="BW23" s="6"/>
    </row>
    <row r="24" spans="1:75" hidden="1">
      <c r="A24" s="57"/>
      <c r="B24" s="17"/>
      <c r="C24"/>
      <c r="D24"/>
      <c r="E24"/>
      <c r="F24"/>
      <c r="G24"/>
      <c r="H24"/>
      <c r="I24"/>
      <c r="J24" s="49" t="s">
        <v>0</v>
      </c>
      <c r="K24"/>
      <c r="L24" s="132"/>
      <c r="M24" s="6"/>
      <c r="O24" s="6"/>
      <c r="Q24" s="6"/>
      <c r="S24" s="6"/>
      <c r="T24" s="6"/>
      <c r="U24" s="6"/>
      <c r="V24" s="6"/>
      <c r="X24" s="6"/>
      <c r="Z24" s="6"/>
      <c r="AB24" s="6"/>
      <c r="AD24" s="6"/>
      <c r="BL24" s="6"/>
      <c r="BM24" s="6"/>
      <c r="BO24" s="6"/>
      <c r="BP24" s="6"/>
      <c r="BQ24" s="6"/>
      <c r="BR24" s="6">
        <f t="shared" si="6"/>
        <v>0</v>
      </c>
      <c r="BT24" s="6">
        <f t="shared" si="7"/>
        <v>0</v>
      </c>
      <c r="BV24" s="6">
        <f t="shared" si="8"/>
        <v>0</v>
      </c>
      <c r="BW24" s="6"/>
    </row>
    <row r="25" spans="1:75" hidden="1">
      <c r="A25" s="57"/>
      <c r="B25" s="17" t="s">
        <v>7</v>
      </c>
      <c r="C25"/>
      <c r="D25"/>
      <c r="E25"/>
      <c r="F25"/>
      <c r="G25"/>
      <c r="H25"/>
      <c r="I25"/>
      <c r="J25" s="49" t="s">
        <v>0</v>
      </c>
      <c r="K25"/>
      <c r="L25" s="132" t="s">
        <v>202</v>
      </c>
      <c r="M25" s="6"/>
      <c r="N25" s="6">
        <v>0</v>
      </c>
      <c r="O25" s="6"/>
      <c r="P25" s="6">
        <v>0</v>
      </c>
      <c r="Q25" s="6"/>
      <c r="R25" s="6">
        <f t="shared" si="4"/>
        <v>0</v>
      </c>
      <c r="S25" s="6"/>
      <c r="T25" s="6">
        <v>0</v>
      </c>
      <c r="U25" s="6"/>
      <c r="V25" s="6">
        <v>0</v>
      </c>
      <c r="X25" s="6">
        <v>0</v>
      </c>
      <c r="Z25" s="6">
        <v>0</v>
      </c>
      <c r="AB25" s="6">
        <v>0</v>
      </c>
      <c r="AD25" s="6">
        <v>0</v>
      </c>
      <c r="AF25" s="6">
        <v>0</v>
      </c>
      <c r="AH25" s="6">
        <v>0</v>
      </c>
      <c r="AJ25" s="6">
        <v>0</v>
      </c>
      <c r="AN25" s="6">
        <v>0</v>
      </c>
      <c r="AP25" s="6">
        <v>0</v>
      </c>
      <c r="AR25" s="6">
        <v>0</v>
      </c>
      <c r="AT25" s="6">
        <v>0</v>
      </c>
      <c r="AV25" s="6">
        <v>0</v>
      </c>
      <c r="AX25" s="6">
        <v>0</v>
      </c>
      <c r="AZ25" s="6">
        <v>0</v>
      </c>
      <c r="BB25" s="6">
        <v>0</v>
      </c>
      <c r="BD25" s="6">
        <v>0</v>
      </c>
      <c r="BF25" s="6">
        <v>0</v>
      </c>
      <c r="BH25" s="6">
        <v>0</v>
      </c>
      <c r="BJ25" s="6">
        <v>0</v>
      </c>
      <c r="BL25" s="6">
        <v>0</v>
      </c>
      <c r="BM25" s="6"/>
      <c r="BN25" s="6">
        <f t="shared" si="5"/>
        <v>0</v>
      </c>
      <c r="BO25" s="6"/>
      <c r="BP25" s="6">
        <v>0</v>
      </c>
      <c r="BQ25" s="6"/>
      <c r="BR25" s="6">
        <f t="shared" si="6"/>
        <v>0</v>
      </c>
      <c r="BT25" s="6">
        <f t="shared" si="7"/>
        <v>0</v>
      </c>
      <c r="BV25" s="6">
        <f t="shared" si="8"/>
        <v>0</v>
      </c>
      <c r="BW25" s="6"/>
    </row>
    <row r="26" spans="1:75" hidden="1">
      <c r="A26" s="57"/>
      <c r="B26" s="17" t="s">
        <v>8</v>
      </c>
      <c r="C26"/>
      <c r="D26"/>
      <c r="E26"/>
      <c r="F26"/>
      <c r="G26"/>
      <c r="H26"/>
      <c r="I26"/>
      <c r="J26" s="49" t="s">
        <v>0</v>
      </c>
      <c r="K26"/>
      <c r="L26" s="132" t="s">
        <v>202</v>
      </c>
      <c r="M26" s="6"/>
      <c r="N26" s="6">
        <v>0</v>
      </c>
      <c r="O26" s="6"/>
      <c r="P26" s="6">
        <v>0</v>
      </c>
      <c r="Q26" s="6"/>
      <c r="R26" s="6">
        <f t="shared" si="4"/>
        <v>0</v>
      </c>
      <c r="S26" s="6"/>
      <c r="T26" s="6">
        <v>0</v>
      </c>
      <c r="U26" s="6"/>
      <c r="V26" s="6">
        <v>0</v>
      </c>
      <c r="X26" s="6">
        <v>0</v>
      </c>
      <c r="Z26" s="6">
        <v>0</v>
      </c>
      <c r="AB26" s="6">
        <v>0</v>
      </c>
      <c r="AD26" s="6">
        <v>0</v>
      </c>
      <c r="AF26" s="6">
        <v>0</v>
      </c>
      <c r="AH26" s="6">
        <v>0</v>
      </c>
      <c r="AJ26" s="6">
        <v>0</v>
      </c>
      <c r="AN26" s="6">
        <v>0</v>
      </c>
      <c r="AP26" s="6">
        <v>0</v>
      </c>
      <c r="AR26" s="6">
        <v>0</v>
      </c>
      <c r="AT26" s="6">
        <v>0</v>
      </c>
      <c r="AV26" s="6">
        <v>0</v>
      </c>
      <c r="AX26" s="6">
        <v>0</v>
      </c>
      <c r="AZ26" s="6">
        <v>0</v>
      </c>
      <c r="BB26" s="6">
        <v>0</v>
      </c>
      <c r="BD26" s="6">
        <v>0</v>
      </c>
      <c r="BF26" s="6">
        <v>0</v>
      </c>
      <c r="BH26" s="6">
        <v>0</v>
      </c>
      <c r="BJ26" s="6">
        <v>0</v>
      </c>
      <c r="BL26" s="6">
        <v>0</v>
      </c>
      <c r="BM26" s="6"/>
      <c r="BN26" s="6">
        <f t="shared" si="5"/>
        <v>0</v>
      </c>
      <c r="BO26" s="6"/>
      <c r="BP26" s="6">
        <v>0</v>
      </c>
      <c r="BQ26" s="6"/>
      <c r="BR26" s="6">
        <f t="shared" si="6"/>
        <v>0</v>
      </c>
      <c r="BT26" s="6">
        <f t="shared" si="7"/>
        <v>0</v>
      </c>
      <c r="BV26" s="6">
        <f t="shared" si="8"/>
        <v>0</v>
      </c>
      <c r="BW26" s="6"/>
    </row>
    <row r="27" spans="1:75" hidden="1">
      <c r="A27" s="57"/>
      <c r="B27" s="17" t="s">
        <v>9</v>
      </c>
      <c r="C27"/>
      <c r="D27"/>
      <c r="E27"/>
      <c r="F27"/>
      <c r="G27"/>
      <c r="H27"/>
      <c r="I27"/>
      <c r="J27" s="49" t="s">
        <v>0</v>
      </c>
      <c r="K27"/>
      <c r="L27" s="132" t="s">
        <v>202</v>
      </c>
      <c r="M27" s="6"/>
      <c r="N27" s="6">
        <v>0</v>
      </c>
      <c r="O27" s="6"/>
      <c r="P27" s="6">
        <v>0</v>
      </c>
      <c r="Q27" s="6"/>
      <c r="R27" s="6">
        <f t="shared" si="4"/>
        <v>0</v>
      </c>
      <c r="S27" s="6"/>
      <c r="T27" s="6">
        <v>0</v>
      </c>
      <c r="U27" s="6"/>
      <c r="V27" s="6">
        <v>0</v>
      </c>
      <c r="X27" s="6">
        <v>0</v>
      </c>
      <c r="Z27" s="6">
        <v>0</v>
      </c>
      <c r="AB27" s="6">
        <v>0</v>
      </c>
      <c r="AD27" s="6">
        <v>0</v>
      </c>
      <c r="AF27" s="6">
        <v>0</v>
      </c>
      <c r="AH27" s="6">
        <v>0</v>
      </c>
      <c r="AJ27" s="6">
        <v>0</v>
      </c>
      <c r="AN27" s="6">
        <v>0</v>
      </c>
      <c r="AP27" s="6">
        <v>0</v>
      </c>
      <c r="AR27" s="6">
        <v>0</v>
      </c>
      <c r="AT27" s="6">
        <v>0</v>
      </c>
      <c r="AV27" s="6">
        <v>0</v>
      </c>
      <c r="AX27" s="6">
        <v>0</v>
      </c>
      <c r="AZ27" s="6">
        <v>0</v>
      </c>
      <c r="BB27" s="6">
        <v>0</v>
      </c>
      <c r="BD27" s="6">
        <v>0</v>
      </c>
      <c r="BF27" s="6">
        <v>0</v>
      </c>
      <c r="BH27" s="6">
        <v>0</v>
      </c>
      <c r="BJ27" s="6">
        <v>0</v>
      </c>
      <c r="BL27" s="6">
        <v>0</v>
      </c>
      <c r="BM27" s="6"/>
      <c r="BN27" s="6">
        <f t="shared" si="5"/>
        <v>0</v>
      </c>
      <c r="BO27" s="6"/>
      <c r="BP27" s="6">
        <v>0</v>
      </c>
      <c r="BQ27" s="6"/>
      <c r="BR27" s="6">
        <f t="shared" si="6"/>
        <v>0</v>
      </c>
      <c r="BT27" s="6">
        <f t="shared" si="7"/>
        <v>0</v>
      </c>
      <c r="BV27" s="6">
        <f t="shared" si="8"/>
        <v>0</v>
      </c>
      <c r="BW27" s="6"/>
    </row>
    <row r="28" spans="1:75" hidden="1">
      <c r="A28" s="57"/>
      <c r="B28" s="17" t="s">
        <v>10</v>
      </c>
      <c r="C28"/>
      <c r="D28"/>
      <c r="E28"/>
      <c r="F28"/>
      <c r="G28"/>
      <c r="H28"/>
      <c r="I28"/>
      <c r="J28" s="49" t="s">
        <v>0</v>
      </c>
      <c r="K28"/>
      <c r="L28" s="132" t="s">
        <v>202</v>
      </c>
      <c r="M28" s="6"/>
      <c r="N28" s="6">
        <v>0</v>
      </c>
      <c r="O28" s="6"/>
      <c r="P28" s="6">
        <v>0</v>
      </c>
      <c r="Q28" s="6"/>
      <c r="R28" s="6">
        <f t="shared" si="4"/>
        <v>0</v>
      </c>
      <c r="S28" s="6"/>
      <c r="T28" s="6">
        <v>0</v>
      </c>
      <c r="U28" s="6"/>
      <c r="V28" s="6">
        <v>0</v>
      </c>
      <c r="X28" s="6">
        <v>0</v>
      </c>
      <c r="Z28" s="6">
        <v>0</v>
      </c>
      <c r="AB28" s="6">
        <v>0</v>
      </c>
      <c r="AD28" s="6">
        <v>0</v>
      </c>
      <c r="AF28" s="6">
        <v>0</v>
      </c>
      <c r="AH28" s="6">
        <v>0</v>
      </c>
      <c r="AJ28" s="6">
        <v>0</v>
      </c>
      <c r="AN28" s="6">
        <v>0</v>
      </c>
      <c r="AP28" s="6">
        <v>0</v>
      </c>
      <c r="AR28" s="6">
        <v>0</v>
      </c>
      <c r="AT28" s="6">
        <v>0</v>
      </c>
      <c r="AV28" s="6">
        <v>0</v>
      </c>
      <c r="AX28" s="6">
        <v>0</v>
      </c>
      <c r="AZ28" s="6">
        <v>0</v>
      </c>
      <c r="BB28" s="6">
        <v>0</v>
      </c>
      <c r="BD28" s="6">
        <v>0</v>
      </c>
      <c r="BF28" s="6">
        <v>0</v>
      </c>
      <c r="BH28" s="6">
        <v>0</v>
      </c>
      <c r="BJ28" s="6">
        <v>0</v>
      </c>
      <c r="BL28" s="6">
        <v>0</v>
      </c>
      <c r="BM28" s="6"/>
      <c r="BN28" s="6">
        <f t="shared" si="5"/>
        <v>0</v>
      </c>
      <c r="BO28" s="6"/>
      <c r="BP28" s="6">
        <v>0</v>
      </c>
      <c r="BQ28" s="6"/>
      <c r="BR28" s="6">
        <f t="shared" si="6"/>
        <v>0</v>
      </c>
      <c r="BT28" s="6">
        <f t="shared" si="7"/>
        <v>0</v>
      </c>
      <c r="BV28" s="6">
        <f t="shared" si="8"/>
        <v>0</v>
      </c>
      <c r="BW28" s="6"/>
    </row>
    <row r="29" spans="1:75" hidden="1">
      <c r="A29" s="57"/>
      <c r="B29" s="17" t="s">
        <v>11</v>
      </c>
      <c r="C29"/>
      <c r="D29"/>
      <c r="E29"/>
      <c r="F29"/>
      <c r="G29"/>
      <c r="H29"/>
      <c r="I29"/>
      <c r="J29" s="49" t="s">
        <v>0</v>
      </c>
      <c r="K29"/>
      <c r="L29" s="132" t="s">
        <v>202</v>
      </c>
      <c r="M29" s="6"/>
      <c r="N29" s="6">
        <v>0</v>
      </c>
      <c r="O29" s="6"/>
      <c r="P29" s="6">
        <v>0</v>
      </c>
      <c r="Q29" s="6"/>
      <c r="R29" s="6">
        <f t="shared" si="4"/>
        <v>0</v>
      </c>
      <c r="S29" s="6"/>
      <c r="T29" s="6">
        <v>0</v>
      </c>
      <c r="U29" s="6"/>
      <c r="V29" s="6">
        <v>0</v>
      </c>
      <c r="X29" s="6">
        <v>0</v>
      </c>
      <c r="Z29" s="6">
        <v>0</v>
      </c>
      <c r="AB29" s="6">
        <v>0</v>
      </c>
      <c r="AD29" s="6">
        <v>0</v>
      </c>
      <c r="AF29" s="6">
        <v>0</v>
      </c>
      <c r="AH29" s="6">
        <v>0</v>
      </c>
      <c r="AJ29" s="6">
        <v>0</v>
      </c>
      <c r="AN29" s="6">
        <v>0</v>
      </c>
      <c r="AP29" s="6">
        <v>0</v>
      </c>
      <c r="AR29" s="6">
        <v>0</v>
      </c>
      <c r="AT29" s="6">
        <v>0</v>
      </c>
      <c r="AV29" s="6">
        <v>0</v>
      </c>
      <c r="AX29" s="6">
        <v>0</v>
      </c>
      <c r="AZ29" s="6">
        <v>0</v>
      </c>
      <c r="BB29" s="6">
        <v>0</v>
      </c>
      <c r="BD29" s="6">
        <v>0</v>
      </c>
      <c r="BF29" s="6">
        <v>0</v>
      </c>
      <c r="BH29" s="6">
        <v>0</v>
      </c>
      <c r="BJ29" s="6">
        <v>0</v>
      </c>
      <c r="BL29" s="6">
        <v>0</v>
      </c>
      <c r="BM29" s="6"/>
      <c r="BN29" s="6">
        <f t="shared" si="5"/>
        <v>0</v>
      </c>
      <c r="BO29" s="6"/>
      <c r="BP29" s="6">
        <v>0</v>
      </c>
      <c r="BQ29" s="6"/>
      <c r="BR29" s="6">
        <f t="shared" si="6"/>
        <v>0</v>
      </c>
      <c r="BT29" s="6">
        <f t="shared" si="7"/>
        <v>0</v>
      </c>
      <c r="BV29" s="6">
        <f t="shared" si="8"/>
        <v>0</v>
      </c>
      <c r="BW29" s="6"/>
    </row>
    <row r="30" spans="1:75" hidden="1">
      <c r="A30" s="59"/>
      <c r="B30" s="17" t="s">
        <v>12</v>
      </c>
      <c r="C30"/>
      <c r="D30"/>
      <c r="E30"/>
      <c r="F30"/>
      <c r="G30"/>
      <c r="H30"/>
      <c r="I30"/>
      <c r="J30" s="49" t="s">
        <v>0</v>
      </c>
      <c r="K30"/>
      <c r="L30" s="132" t="s">
        <v>202</v>
      </c>
      <c r="M30" s="6"/>
      <c r="N30" s="6">
        <v>0</v>
      </c>
      <c r="O30" s="6"/>
      <c r="P30" s="6">
        <v>0</v>
      </c>
      <c r="Q30" s="6"/>
      <c r="R30" s="6">
        <f t="shared" si="4"/>
        <v>0</v>
      </c>
      <c r="S30" s="6"/>
      <c r="T30" s="6">
        <v>0</v>
      </c>
      <c r="U30" s="6"/>
      <c r="V30" s="6">
        <v>0</v>
      </c>
      <c r="X30" s="6">
        <v>0</v>
      </c>
      <c r="Z30" s="6">
        <v>0</v>
      </c>
      <c r="AB30" s="6">
        <v>0</v>
      </c>
      <c r="AD30" s="6">
        <v>0</v>
      </c>
      <c r="AF30" s="6">
        <v>0</v>
      </c>
      <c r="AH30" s="6">
        <v>0</v>
      </c>
      <c r="AJ30" s="6">
        <v>0</v>
      </c>
      <c r="AN30" s="6">
        <v>0</v>
      </c>
      <c r="AP30" s="6">
        <v>0</v>
      </c>
      <c r="AR30" s="6">
        <v>0</v>
      </c>
      <c r="AT30" s="6">
        <v>0</v>
      </c>
      <c r="AV30" s="6">
        <v>0</v>
      </c>
      <c r="AX30" s="6">
        <v>0</v>
      </c>
      <c r="AZ30" s="6">
        <v>0</v>
      </c>
      <c r="BB30" s="6">
        <v>0</v>
      </c>
      <c r="BD30" s="6">
        <v>0</v>
      </c>
      <c r="BF30" s="6">
        <v>0</v>
      </c>
      <c r="BH30" s="6">
        <v>0</v>
      </c>
      <c r="BJ30" s="6">
        <v>0</v>
      </c>
      <c r="BL30" s="6">
        <v>0</v>
      </c>
      <c r="BM30" s="6"/>
      <c r="BN30" s="6">
        <f t="shared" si="5"/>
        <v>0</v>
      </c>
      <c r="BO30" s="6"/>
      <c r="BP30" s="6">
        <v>0</v>
      </c>
      <c r="BQ30" s="6"/>
      <c r="BR30" s="6">
        <f t="shared" si="6"/>
        <v>0</v>
      </c>
      <c r="BT30" s="6">
        <f t="shared" si="7"/>
        <v>0</v>
      </c>
      <c r="BV30" s="6">
        <f t="shared" si="8"/>
        <v>0</v>
      </c>
      <c r="BW30" s="6"/>
    </row>
    <row r="31" spans="1:75" hidden="1">
      <c r="A31" s="59"/>
      <c r="B31" s="17" t="s">
        <v>13</v>
      </c>
      <c r="C31"/>
      <c r="D31"/>
      <c r="E31"/>
      <c r="F31"/>
      <c r="G31"/>
      <c r="H31"/>
      <c r="I31"/>
      <c r="J31" s="49" t="s">
        <v>0</v>
      </c>
      <c r="K31"/>
      <c r="L31" s="132" t="s">
        <v>202</v>
      </c>
      <c r="M31" s="6"/>
      <c r="N31" s="6">
        <v>0</v>
      </c>
      <c r="O31" s="6"/>
      <c r="P31" s="6">
        <v>0</v>
      </c>
      <c r="Q31" s="6"/>
      <c r="R31" s="6">
        <f t="shared" si="4"/>
        <v>0</v>
      </c>
      <c r="S31" s="6"/>
      <c r="T31" s="6">
        <v>0</v>
      </c>
      <c r="U31" s="6"/>
      <c r="V31" s="6">
        <v>0</v>
      </c>
      <c r="X31" s="6">
        <v>0</v>
      </c>
      <c r="Z31" s="6">
        <v>0</v>
      </c>
      <c r="AB31" s="6">
        <v>0</v>
      </c>
      <c r="AD31" s="6">
        <v>0</v>
      </c>
      <c r="AF31" s="6">
        <v>0</v>
      </c>
      <c r="AH31" s="6">
        <v>0</v>
      </c>
      <c r="AJ31" s="6">
        <v>0</v>
      </c>
      <c r="AN31" s="6">
        <v>0</v>
      </c>
      <c r="AP31" s="6">
        <v>0</v>
      </c>
      <c r="AR31" s="6">
        <v>0</v>
      </c>
      <c r="AT31" s="6">
        <v>0</v>
      </c>
      <c r="AV31" s="6">
        <v>0</v>
      </c>
      <c r="AX31" s="6">
        <v>0</v>
      </c>
      <c r="AZ31" s="6">
        <v>0</v>
      </c>
      <c r="BB31" s="6">
        <v>0</v>
      </c>
      <c r="BD31" s="6">
        <v>0</v>
      </c>
      <c r="BF31" s="6">
        <v>0</v>
      </c>
      <c r="BH31" s="6">
        <v>0</v>
      </c>
      <c r="BJ31" s="6">
        <v>0</v>
      </c>
      <c r="BL31" s="6">
        <v>0</v>
      </c>
      <c r="BM31" s="6"/>
      <c r="BN31" s="6">
        <f t="shared" si="5"/>
        <v>0</v>
      </c>
      <c r="BO31" s="6"/>
      <c r="BP31" s="6">
        <v>0</v>
      </c>
      <c r="BQ31" s="6"/>
      <c r="BR31" s="6">
        <f t="shared" si="6"/>
        <v>0</v>
      </c>
      <c r="BT31" s="6">
        <f t="shared" si="7"/>
        <v>0</v>
      </c>
      <c r="BV31" s="6">
        <f t="shared" si="8"/>
        <v>0</v>
      </c>
      <c r="BW31" s="6"/>
    </row>
    <row r="32" spans="1:75" s="11" customFormat="1" hidden="1">
      <c r="A32" s="100"/>
      <c r="B32" s="17" t="s">
        <v>14</v>
      </c>
      <c r="C32" s="30"/>
      <c r="D32" s="30"/>
      <c r="E32" s="30"/>
      <c r="F32" s="30"/>
      <c r="G32" s="30"/>
      <c r="H32" s="30"/>
      <c r="I32" s="30"/>
      <c r="J32" s="49" t="s">
        <v>0</v>
      </c>
      <c r="K32" s="30"/>
      <c r="L32" s="132" t="s">
        <v>202</v>
      </c>
      <c r="M32" s="12"/>
      <c r="N32" s="12">
        <v>0</v>
      </c>
      <c r="O32" s="12"/>
      <c r="P32" s="12">
        <v>0</v>
      </c>
      <c r="Q32" s="12"/>
      <c r="R32" s="6">
        <f t="shared" si="4"/>
        <v>0</v>
      </c>
      <c r="S32" s="12"/>
      <c r="T32" s="12">
        <v>0</v>
      </c>
      <c r="U32" s="12"/>
      <c r="V32" s="12">
        <v>0</v>
      </c>
      <c r="W32" s="12"/>
      <c r="X32" s="12">
        <v>0</v>
      </c>
      <c r="Y32" s="12"/>
      <c r="Z32" s="12">
        <v>0</v>
      </c>
      <c r="AA32" s="12"/>
      <c r="AB32" s="12">
        <v>0</v>
      </c>
      <c r="AC32" s="12"/>
      <c r="AD32" s="12">
        <v>0</v>
      </c>
      <c r="AE32" s="12"/>
      <c r="AF32" s="12">
        <v>0</v>
      </c>
      <c r="AG32" s="12"/>
      <c r="AH32" s="12">
        <v>0</v>
      </c>
      <c r="AI32" s="12"/>
      <c r="AJ32" s="12">
        <v>0</v>
      </c>
      <c r="AK32" s="12"/>
      <c r="AL32" s="12"/>
      <c r="AM32" s="12"/>
      <c r="AN32" s="12">
        <v>0</v>
      </c>
      <c r="AO32" s="12"/>
      <c r="AP32" s="12">
        <v>0</v>
      </c>
      <c r="AQ32" s="12"/>
      <c r="AR32" s="12">
        <v>0</v>
      </c>
      <c r="AS32" s="12"/>
      <c r="AT32" s="12">
        <v>0</v>
      </c>
      <c r="AU32" s="12"/>
      <c r="AV32" s="12">
        <v>0</v>
      </c>
      <c r="AW32" s="12"/>
      <c r="AX32" s="12">
        <v>0</v>
      </c>
      <c r="AY32" s="12"/>
      <c r="AZ32" s="12">
        <v>0</v>
      </c>
      <c r="BA32" s="12"/>
      <c r="BB32" s="12">
        <v>0</v>
      </c>
      <c r="BC32" s="12"/>
      <c r="BD32" s="12">
        <v>0</v>
      </c>
      <c r="BE32" s="12"/>
      <c r="BF32" s="12">
        <v>0</v>
      </c>
      <c r="BG32" s="12"/>
      <c r="BH32" s="12">
        <v>0</v>
      </c>
      <c r="BI32" s="12"/>
      <c r="BJ32" s="12">
        <v>0</v>
      </c>
      <c r="BK32" s="12"/>
      <c r="BL32" s="12">
        <v>0</v>
      </c>
      <c r="BM32" s="12"/>
      <c r="BN32" s="12">
        <f t="shared" si="5"/>
        <v>0</v>
      </c>
      <c r="BO32" s="12"/>
      <c r="BP32" s="12">
        <v>0</v>
      </c>
      <c r="BQ32" s="12"/>
      <c r="BR32" s="6">
        <f t="shared" si="6"/>
        <v>0</v>
      </c>
      <c r="BS32" s="12"/>
      <c r="BT32" s="6">
        <f t="shared" si="7"/>
        <v>0</v>
      </c>
      <c r="BU32" s="12"/>
      <c r="BV32" s="6">
        <f t="shared" si="8"/>
        <v>0</v>
      </c>
      <c r="BW32" s="12"/>
    </row>
    <row r="33" spans="1:75">
      <c r="A33" s="57"/>
      <c r="B33" s="17" t="s">
        <v>121</v>
      </c>
      <c r="C33"/>
      <c r="D33"/>
      <c r="E33"/>
      <c r="F33"/>
      <c r="G33"/>
      <c r="H33"/>
      <c r="I33"/>
      <c r="J33" s="49" t="s">
        <v>0</v>
      </c>
      <c r="K33"/>
      <c r="L33" s="132" t="s">
        <v>202</v>
      </c>
      <c r="M33" s="6"/>
      <c r="N33" s="12">
        <v>0</v>
      </c>
      <c r="O33" s="6"/>
      <c r="P33" s="12">
        <v>0</v>
      </c>
      <c r="Q33" s="6"/>
      <c r="R33" s="6">
        <v>0</v>
      </c>
      <c r="S33" s="6"/>
      <c r="T33" s="12">
        <v>0</v>
      </c>
      <c r="U33" s="12"/>
      <c r="V33" s="12">
        <v>0</v>
      </c>
      <c r="W33" s="12"/>
      <c r="X33" s="12">
        <v>0</v>
      </c>
      <c r="Y33" s="12"/>
      <c r="Z33" s="12">
        <v>0</v>
      </c>
      <c r="AA33" s="12"/>
      <c r="AB33" s="12">
        <v>0</v>
      </c>
      <c r="AC33" s="12"/>
      <c r="AD33" s="12">
        <v>0</v>
      </c>
      <c r="AE33" s="12"/>
      <c r="AF33" s="12">
        <v>0</v>
      </c>
      <c r="AG33" s="12"/>
      <c r="AH33" s="12">
        <v>0</v>
      </c>
      <c r="AI33" s="12"/>
      <c r="AJ33" s="12">
        <v>0</v>
      </c>
      <c r="AK33" s="12"/>
      <c r="AL33" s="12"/>
      <c r="AM33" s="12"/>
      <c r="AN33" s="12">
        <v>0</v>
      </c>
      <c r="AO33" s="12"/>
      <c r="AP33" s="12">
        <v>0</v>
      </c>
      <c r="AQ33" s="12"/>
      <c r="AR33" s="12">
        <v>0</v>
      </c>
      <c r="AS33" s="12"/>
      <c r="AT33" s="12">
        <v>0</v>
      </c>
      <c r="AU33" s="12"/>
      <c r="AV33" s="12">
        <v>0</v>
      </c>
      <c r="AW33" s="12"/>
      <c r="AX33" s="12">
        <v>0</v>
      </c>
      <c r="AY33" s="12"/>
      <c r="AZ33" s="12">
        <v>0</v>
      </c>
      <c r="BA33" s="12"/>
      <c r="BB33" s="12">
        <v>0</v>
      </c>
      <c r="BC33" s="12"/>
      <c r="BD33" s="12">
        <v>0</v>
      </c>
      <c r="BE33" s="12"/>
      <c r="BF33" s="12">
        <v>0</v>
      </c>
      <c r="BG33" s="12"/>
      <c r="BH33" s="12">
        <v>0</v>
      </c>
      <c r="BI33" s="12"/>
      <c r="BJ33" s="12">
        <v>0</v>
      </c>
      <c r="BK33" s="12"/>
      <c r="BL33" s="12">
        <v>0</v>
      </c>
      <c r="BM33" s="6"/>
      <c r="BN33" s="12">
        <f t="shared" si="5"/>
        <v>0</v>
      </c>
      <c r="BO33" s="6"/>
      <c r="BP33" s="12">
        <v>0</v>
      </c>
      <c r="BQ33" s="6"/>
      <c r="BR33" s="6">
        <f t="shared" si="6"/>
        <v>0</v>
      </c>
      <c r="BT33" s="6">
        <f t="shared" si="7"/>
        <v>0</v>
      </c>
      <c r="BV33" s="6">
        <f t="shared" si="8"/>
        <v>0</v>
      </c>
      <c r="BW33" s="12"/>
    </row>
    <row r="34" spans="1:75">
      <c r="A34" s="57"/>
      <c r="B34" s="17"/>
      <c r="C34"/>
      <c r="D34"/>
      <c r="E34"/>
      <c r="F34"/>
      <c r="G34"/>
      <c r="H34"/>
      <c r="I34"/>
      <c r="J34" s="49"/>
      <c r="K34"/>
      <c r="L34" s="132"/>
      <c r="M34" s="6"/>
      <c r="N34" s="12"/>
      <c r="O34" s="6"/>
      <c r="P34" s="12"/>
      <c r="Q34" s="6"/>
      <c r="R34" s="12"/>
      <c r="S34" s="6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6"/>
      <c r="BN34" s="12"/>
      <c r="BO34" s="6"/>
      <c r="BP34" s="12"/>
      <c r="BQ34" s="6"/>
      <c r="BR34" s="6">
        <f t="shared" si="6"/>
        <v>0</v>
      </c>
      <c r="BT34" s="6">
        <f t="shared" si="7"/>
        <v>0</v>
      </c>
      <c r="BV34" s="6">
        <f t="shared" si="8"/>
        <v>0</v>
      </c>
      <c r="BW34" s="12"/>
    </row>
    <row r="35" spans="1:75">
      <c r="A35" s="57"/>
      <c r="B35" s="17" t="s">
        <v>226</v>
      </c>
      <c r="C35"/>
      <c r="D35"/>
      <c r="E35"/>
      <c r="F35"/>
      <c r="G35"/>
      <c r="H35"/>
      <c r="I35"/>
      <c r="J35" s="49"/>
      <c r="K35"/>
      <c r="L35" s="132"/>
      <c r="M35" s="6"/>
      <c r="N35" s="101">
        <f>SUM(N18:N34)</f>
        <v>0</v>
      </c>
      <c r="O35" s="6"/>
      <c r="P35" s="101">
        <f>SUM(P18:P34)</f>
        <v>0</v>
      </c>
      <c r="Q35" s="6"/>
      <c r="R35" s="101">
        <f>SUM(R18:R34)</f>
        <v>0</v>
      </c>
      <c r="S35" s="6"/>
      <c r="T35" s="101">
        <f>SUM(T18:T34)</f>
        <v>0</v>
      </c>
      <c r="U35" s="12"/>
      <c r="V35" s="101">
        <f>SUM(V18:V34)</f>
        <v>0</v>
      </c>
      <c r="W35" s="12"/>
      <c r="X35" s="101">
        <f>SUM(X18:X34)</f>
        <v>0</v>
      </c>
      <c r="Y35" s="12"/>
      <c r="Z35" s="101">
        <f>SUM(Z18:Z34)</f>
        <v>0</v>
      </c>
      <c r="AA35" s="12"/>
      <c r="AB35" s="101">
        <f>SUM(AB18:AB34)</f>
        <v>0</v>
      </c>
      <c r="AC35" s="12"/>
      <c r="AD35" s="101">
        <f>SUM(AD18:AD34)</f>
        <v>0</v>
      </c>
      <c r="AE35" s="12"/>
      <c r="AF35" s="101">
        <f>SUM(AF18:AF34)</f>
        <v>0</v>
      </c>
      <c r="AG35" s="12"/>
      <c r="AH35" s="101">
        <f>SUM(AH18:AH34)</f>
        <v>293460.55</v>
      </c>
      <c r="AI35" s="12"/>
      <c r="AJ35" s="101">
        <f>SUM(AJ18:AJ34)</f>
        <v>883701.65</v>
      </c>
      <c r="AK35" s="12"/>
      <c r="AL35" s="101">
        <f>SUM(AL18:AL34)</f>
        <v>-1177162</v>
      </c>
      <c r="AM35" s="101"/>
      <c r="AN35" s="101">
        <f>SUM(AN18:AN34)</f>
        <v>0</v>
      </c>
      <c r="AO35" s="12"/>
      <c r="AP35" s="101">
        <f>SUM(AP18:AP34)</f>
        <v>0</v>
      </c>
      <c r="AQ35" s="12"/>
      <c r="AR35" s="101">
        <f>SUM(AR18:AR34)</f>
        <v>0</v>
      </c>
      <c r="AS35" s="12"/>
      <c r="AT35" s="101">
        <f>SUM(AT18:AT34)</f>
        <v>0</v>
      </c>
      <c r="AU35" s="12"/>
      <c r="AV35" s="101">
        <f>SUM(AV18:AV34)</f>
        <v>0</v>
      </c>
      <c r="AW35" s="12"/>
      <c r="AX35" s="101">
        <f>SUM(AX18:AX34)</f>
        <v>0</v>
      </c>
      <c r="AY35" s="12"/>
      <c r="AZ35" s="101">
        <f>SUM(AZ18:AZ34)</f>
        <v>0</v>
      </c>
      <c r="BA35" s="12"/>
      <c r="BB35" s="101">
        <f>SUM(BB18:BB34)</f>
        <v>0</v>
      </c>
      <c r="BC35" s="12"/>
      <c r="BD35" s="101">
        <f>SUM(BD18:BD34)</f>
        <v>0</v>
      </c>
      <c r="BE35" s="12"/>
      <c r="BF35" s="101">
        <f>SUM(BF18:BF34)</f>
        <v>0</v>
      </c>
      <c r="BG35" s="12"/>
      <c r="BH35" s="101">
        <f>SUM(BH18:BH34)</f>
        <v>0</v>
      </c>
      <c r="BI35" s="12"/>
      <c r="BJ35" s="101">
        <f>SUM(BJ18:BJ34)</f>
        <v>0</v>
      </c>
      <c r="BK35" s="12"/>
      <c r="BL35" s="101">
        <f>SUM(BL18:BL34)</f>
        <v>0</v>
      </c>
      <c r="BM35" s="6"/>
      <c r="BN35" s="101">
        <f>SUM(BN18:BN34)</f>
        <v>0.19999999995343387</v>
      </c>
      <c r="BO35" s="6"/>
      <c r="BP35" s="101">
        <f>SUM(BP18:BP34)</f>
        <v>0</v>
      </c>
      <c r="BQ35" s="6"/>
      <c r="BR35" s="101">
        <f>SUM(BR18:BR34)</f>
        <v>0</v>
      </c>
      <c r="BT35" s="101">
        <f>SUM(BT18:BT34)</f>
        <v>0.19999999995343387</v>
      </c>
      <c r="BV35" s="101">
        <f>SUM(BV18:BV34)</f>
        <v>-0.19999999995343387</v>
      </c>
      <c r="BW35" s="12"/>
    </row>
    <row r="36" spans="1:75">
      <c r="A36" s="57"/>
      <c r="B36" s="17"/>
      <c r="C36"/>
      <c r="D36"/>
      <c r="E36"/>
      <c r="F36"/>
      <c r="G36"/>
      <c r="H36"/>
      <c r="I36"/>
      <c r="J36" s="49"/>
      <c r="K36"/>
      <c r="L36" s="132"/>
      <c r="M36" s="6"/>
      <c r="N36" s="12"/>
      <c r="O36" s="6"/>
      <c r="P36" s="12"/>
      <c r="Q36" s="6"/>
      <c r="R36" s="12"/>
      <c r="S36" s="6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6"/>
      <c r="BN36" s="12"/>
      <c r="BO36" s="6"/>
      <c r="BP36" s="12"/>
      <c r="BQ36" s="6"/>
      <c r="BR36" s="12"/>
      <c r="BT36" s="12"/>
      <c r="BV36" s="12"/>
      <c r="BW36" s="12"/>
    </row>
    <row r="37" spans="1:75" s="114" customFormat="1">
      <c r="A37" s="112"/>
      <c r="B37" s="113" t="s">
        <v>15</v>
      </c>
      <c r="J37" s="154"/>
      <c r="L37" s="140"/>
      <c r="M37" s="115"/>
      <c r="N37" s="115">
        <f>+N35+N16</f>
        <v>93330000</v>
      </c>
      <c r="O37" s="115"/>
      <c r="P37" s="115">
        <f>+P35+P16</f>
        <v>0</v>
      </c>
      <c r="Q37" s="115"/>
      <c r="R37" s="115">
        <f>+R35+R16</f>
        <v>0</v>
      </c>
      <c r="S37" s="115"/>
      <c r="T37" s="115">
        <f>+T35+T16</f>
        <v>29376550</v>
      </c>
      <c r="U37" s="115"/>
      <c r="V37" s="115">
        <f>+V35+V16</f>
        <v>43750400</v>
      </c>
      <c r="W37" s="115"/>
      <c r="X37" s="115">
        <f>+X35+X16</f>
        <v>3107550</v>
      </c>
      <c r="Y37" s="115"/>
      <c r="Z37" s="115">
        <f>+Z35+Z16</f>
        <v>0</v>
      </c>
      <c r="AA37" s="115"/>
      <c r="AB37" s="115">
        <f>+AB35+AB16</f>
        <v>3107250</v>
      </c>
      <c r="AC37" s="115"/>
      <c r="AD37" s="115">
        <f>+AD35+AD16</f>
        <v>6240218.71</v>
      </c>
      <c r="AE37" s="115"/>
      <c r="AF37" s="115">
        <f>+AF35+AF16</f>
        <v>0</v>
      </c>
      <c r="AG37" s="115"/>
      <c r="AH37" s="115">
        <f>+AH35+AH16</f>
        <v>400660.02</v>
      </c>
      <c r="AI37" s="115"/>
      <c r="AJ37" s="115">
        <f>+AJ35+AJ16</f>
        <v>1276912.55</v>
      </c>
      <c r="AK37" s="115"/>
      <c r="AL37" s="115">
        <f>+AL35+AL16</f>
        <v>-87259541</v>
      </c>
      <c r="AM37" s="115"/>
      <c r="AN37" s="115">
        <f>+AN35+AN16</f>
        <v>0</v>
      </c>
      <c r="AO37" s="115"/>
      <c r="AP37" s="115">
        <f>+AP35+AP16</f>
        <v>0</v>
      </c>
      <c r="AQ37" s="115"/>
      <c r="AR37" s="115">
        <f>+AR35+AR16</f>
        <v>0</v>
      </c>
      <c r="AS37" s="115"/>
      <c r="AT37" s="115">
        <f>+AT35+AT16</f>
        <v>0</v>
      </c>
      <c r="AU37" s="115"/>
      <c r="AV37" s="115">
        <f>+AV35+AV16</f>
        <v>0</v>
      </c>
      <c r="AW37" s="115"/>
      <c r="AX37" s="115">
        <f>+AX35+AX16</f>
        <v>0</v>
      </c>
      <c r="AY37" s="115"/>
      <c r="AZ37" s="115">
        <f>+AZ35+AZ16</f>
        <v>0</v>
      </c>
      <c r="BA37" s="115"/>
      <c r="BB37" s="115">
        <f>+BB35+BB16</f>
        <v>0</v>
      </c>
      <c r="BC37" s="115"/>
      <c r="BD37" s="115">
        <f>+BD35+BD16</f>
        <v>0</v>
      </c>
      <c r="BE37" s="115"/>
      <c r="BF37" s="115">
        <f>+BF35+BF16</f>
        <v>0</v>
      </c>
      <c r="BG37" s="115"/>
      <c r="BH37" s="115">
        <f>+BH35+BH16</f>
        <v>0</v>
      </c>
      <c r="BI37" s="115"/>
      <c r="BJ37" s="115">
        <f>+BJ35+BJ16</f>
        <v>0</v>
      </c>
      <c r="BK37" s="115"/>
      <c r="BL37" s="115">
        <f>+BL35+BL16</f>
        <v>0</v>
      </c>
      <c r="BM37" s="115"/>
      <c r="BN37" s="115">
        <f>+BN35+BN16</f>
        <v>0.27999999935855158</v>
      </c>
      <c r="BO37" s="115"/>
      <c r="BP37" s="115">
        <f>+BP35+BP16</f>
        <v>0</v>
      </c>
      <c r="BQ37" s="115"/>
      <c r="BR37" s="115">
        <f>+BR35+BR16</f>
        <v>0.39000000059604645</v>
      </c>
      <c r="BS37" s="115"/>
      <c r="BT37" s="115">
        <f>+BT35+BT16</f>
        <v>0.66999999995459802</v>
      </c>
      <c r="BU37" s="115"/>
      <c r="BV37" s="115">
        <f>+BV35+BV16</f>
        <v>-0.66999999995459802</v>
      </c>
      <c r="BW37" s="115"/>
    </row>
    <row r="38" spans="1:75">
      <c r="A38" s="57"/>
      <c r="B38" s="79"/>
      <c r="C38"/>
      <c r="D38"/>
      <c r="E38"/>
      <c r="F38"/>
      <c r="G38"/>
      <c r="H38"/>
      <c r="I38"/>
      <c r="J38" s="49"/>
      <c r="K38"/>
      <c r="L38" s="132"/>
      <c r="M38" s="6"/>
      <c r="O38" s="6"/>
      <c r="Q38" s="6"/>
      <c r="S38" s="6"/>
      <c r="T38" s="6"/>
      <c r="U38" s="6"/>
      <c r="V38" s="6"/>
      <c r="X38" s="6"/>
      <c r="Z38" s="6"/>
      <c r="AB38" s="6"/>
      <c r="AD38" s="6"/>
      <c r="BL38" s="6"/>
      <c r="BM38" s="6"/>
      <c r="BO38" s="6"/>
      <c r="BP38" s="6"/>
      <c r="BQ38" s="6"/>
      <c r="BW38" s="6"/>
    </row>
    <row r="39" spans="1:75">
      <c r="A39" s="57"/>
      <c r="B39" s="17"/>
      <c r="C39"/>
      <c r="D39"/>
      <c r="E39"/>
      <c r="F39"/>
      <c r="G39"/>
      <c r="H39"/>
      <c r="I39"/>
      <c r="J39" s="49"/>
      <c r="K39"/>
      <c r="L39" s="132"/>
      <c r="M39" s="6"/>
      <c r="O39" s="6"/>
      <c r="Q39" s="6"/>
      <c r="S39" s="6"/>
      <c r="T39" s="6"/>
      <c r="U39" s="6"/>
      <c r="V39" s="6"/>
      <c r="X39" s="6"/>
      <c r="Z39" s="6"/>
      <c r="AB39" s="6"/>
      <c r="AD39" s="6"/>
      <c r="BL39" s="6"/>
      <c r="BM39" s="6"/>
      <c r="BO39" s="6"/>
      <c r="BP39" s="6"/>
      <c r="BQ39" s="6"/>
      <c r="BW39" s="6"/>
    </row>
    <row r="40" spans="1:75">
      <c r="A40" s="56" t="s">
        <v>234</v>
      </c>
      <c r="B40" s="17"/>
      <c r="C40"/>
      <c r="D40"/>
      <c r="E40"/>
      <c r="F40"/>
      <c r="G40"/>
      <c r="H40"/>
      <c r="I40"/>
      <c r="J40" s="49"/>
      <c r="K40"/>
      <c r="L40" s="132"/>
      <c r="M40" s="6"/>
      <c r="O40" s="6"/>
      <c r="Q40" s="6"/>
      <c r="S40" s="6"/>
      <c r="T40" s="6"/>
      <c r="U40" s="6"/>
      <c r="V40" s="6"/>
      <c r="X40" s="6"/>
      <c r="Z40" s="6"/>
      <c r="AB40" s="6"/>
      <c r="AD40" s="6"/>
      <c r="BL40" s="6"/>
      <c r="BM40" s="6"/>
      <c r="BO40" s="6"/>
      <c r="BP40" s="6"/>
      <c r="BQ40" s="6"/>
      <c r="BW40" s="6"/>
    </row>
    <row r="41" spans="1:75">
      <c r="A41" s="57"/>
      <c r="B41" s="17" t="s">
        <v>235</v>
      </c>
      <c r="C41"/>
      <c r="D41"/>
      <c r="E41"/>
      <c r="F41"/>
      <c r="G41"/>
      <c r="H41"/>
      <c r="I41"/>
      <c r="J41" s="49" t="s">
        <v>229</v>
      </c>
      <c r="K41"/>
      <c r="L41" s="132" t="s">
        <v>202</v>
      </c>
      <c r="M41" s="6"/>
      <c r="N41" s="6">
        <v>0</v>
      </c>
      <c r="O41" s="6"/>
      <c r="P41" s="6">
        <v>0</v>
      </c>
      <c r="Q41" s="6"/>
      <c r="R41" s="6">
        <v>0</v>
      </c>
      <c r="S41" s="6"/>
      <c r="T41" s="6">
        <v>0</v>
      </c>
      <c r="U41" s="6"/>
      <c r="V41" s="6">
        <v>0</v>
      </c>
      <c r="X41" s="6">
        <v>0</v>
      </c>
      <c r="Z41" s="6">
        <v>0</v>
      </c>
      <c r="AB41" s="6">
        <v>0</v>
      </c>
      <c r="AD41" s="6">
        <v>0</v>
      </c>
      <c r="AF41" s="6">
        <v>0</v>
      </c>
      <c r="AH41" s="6">
        <v>0</v>
      </c>
      <c r="AJ41" s="6">
        <v>0</v>
      </c>
      <c r="AN41" s="6">
        <v>0</v>
      </c>
      <c r="AP41" s="6">
        <v>0</v>
      </c>
      <c r="AR41" s="6">
        <v>0</v>
      </c>
      <c r="AT41" s="6">
        <v>0</v>
      </c>
      <c r="AV41" s="6">
        <v>0</v>
      </c>
      <c r="AX41" s="6">
        <v>0</v>
      </c>
      <c r="AZ41" s="6">
        <v>0</v>
      </c>
      <c r="BB41" s="6">
        <v>0</v>
      </c>
      <c r="BD41" s="6">
        <v>0</v>
      </c>
      <c r="BF41" s="6">
        <v>0</v>
      </c>
      <c r="BH41" s="6">
        <v>0</v>
      </c>
      <c r="BJ41" s="6">
        <v>0</v>
      </c>
      <c r="BL41" s="6">
        <v>0</v>
      </c>
      <c r="BM41" s="6"/>
      <c r="BN41" s="6">
        <f t="shared" ref="BN41:BN68" si="9">SUM(T41:BM41)</f>
        <v>0</v>
      </c>
      <c r="BO41" s="6"/>
      <c r="BP41" s="6">
        <v>0</v>
      </c>
      <c r="BQ41" s="6"/>
      <c r="BR41" s="6">
        <f t="shared" ref="BR41:BR69" si="10">IF(+R41-BN41+BP41&gt;0,R41-BN41+BP41,0)</f>
        <v>0</v>
      </c>
      <c r="BT41" s="6">
        <f>+BN41+BR41</f>
        <v>0</v>
      </c>
      <c r="BV41" s="6">
        <f>+R41-BT41</f>
        <v>0</v>
      </c>
      <c r="BW41" s="6"/>
    </row>
    <row r="42" spans="1:75">
      <c r="A42" s="57"/>
      <c r="B42" s="17" t="s">
        <v>237</v>
      </c>
      <c r="C42"/>
      <c r="D42"/>
      <c r="E42"/>
      <c r="F42"/>
      <c r="G42"/>
      <c r="H42"/>
      <c r="I42"/>
      <c r="J42" s="49" t="s">
        <v>229</v>
      </c>
      <c r="K42"/>
      <c r="L42" s="132" t="s">
        <v>202</v>
      </c>
      <c r="M42" s="6"/>
      <c r="O42" s="6"/>
      <c r="Q42" s="6"/>
      <c r="R42" s="6">
        <v>0</v>
      </c>
      <c r="S42" s="6"/>
      <c r="T42" s="6"/>
      <c r="U42" s="6"/>
      <c r="V42" s="6"/>
      <c r="X42" s="6"/>
      <c r="Z42" s="6"/>
      <c r="AB42" s="6"/>
      <c r="AD42" s="6"/>
      <c r="BL42" s="6"/>
      <c r="BM42" s="6"/>
      <c r="BN42" s="6">
        <f t="shared" si="9"/>
        <v>0</v>
      </c>
      <c r="BO42" s="6"/>
      <c r="BP42" s="6">
        <v>0</v>
      </c>
      <c r="BQ42" s="6"/>
      <c r="BR42" s="6">
        <f t="shared" si="10"/>
        <v>0</v>
      </c>
      <c r="BT42" s="6">
        <f t="shared" ref="BT42:BT69" si="11">+BN42+BR42</f>
        <v>0</v>
      </c>
      <c r="BV42" s="6">
        <f t="shared" ref="BV42:BV69" si="12">+R42-BT42</f>
        <v>0</v>
      </c>
      <c r="BW42" s="6"/>
    </row>
    <row r="43" spans="1:75">
      <c r="A43" s="57"/>
      <c r="B43" s="17" t="s">
        <v>238</v>
      </c>
      <c r="C43"/>
      <c r="D43"/>
      <c r="E43"/>
      <c r="F43"/>
      <c r="G43"/>
      <c r="H43"/>
      <c r="I43"/>
      <c r="J43" s="49" t="s">
        <v>229</v>
      </c>
      <c r="K43"/>
      <c r="L43" s="132" t="s">
        <v>202</v>
      </c>
      <c r="M43" s="6"/>
      <c r="O43" s="6"/>
      <c r="Q43" s="6"/>
      <c r="R43" s="6">
        <v>0</v>
      </c>
      <c r="S43" s="6"/>
      <c r="T43" s="6"/>
      <c r="U43" s="6"/>
      <c r="V43" s="6"/>
      <c r="X43" s="6"/>
      <c r="Z43" s="6"/>
      <c r="AB43" s="6"/>
      <c r="AD43" s="6"/>
      <c r="BL43" s="6"/>
      <c r="BM43" s="6"/>
      <c r="BN43" s="6">
        <f t="shared" si="9"/>
        <v>0</v>
      </c>
      <c r="BO43" s="6"/>
      <c r="BP43" s="6">
        <v>0</v>
      </c>
      <c r="BQ43" s="6"/>
      <c r="BR43" s="6">
        <f t="shared" si="10"/>
        <v>0</v>
      </c>
      <c r="BT43" s="6">
        <f t="shared" si="11"/>
        <v>0</v>
      </c>
      <c r="BV43" s="6">
        <f t="shared" si="12"/>
        <v>0</v>
      </c>
      <c r="BW43" s="6"/>
    </row>
    <row r="44" spans="1:75">
      <c r="A44" s="57"/>
      <c r="B44" s="17" t="s">
        <v>22</v>
      </c>
      <c r="C44"/>
      <c r="D44"/>
      <c r="E44"/>
      <c r="F44"/>
      <c r="G44"/>
      <c r="H44"/>
      <c r="I44"/>
      <c r="J44" s="49" t="s">
        <v>229</v>
      </c>
      <c r="K44"/>
      <c r="L44" s="132" t="s">
        <v>202</v>
      </c>
      <c r="M44" s="6"/>
      <c r="O44" s="6"/>
      <c r="Q44" s="6"/>
      <c r="R44" s="6">
        <v>0</v>
      </c>
      <c r="S44" s="6"/>
      <c r="T44" s="6"/>
      <c r="U44" s="6"/>
      <c r="V44" s="6"/>
      <c r="X44" s="6"/>
      <c r="Z44" s="6"/>
      <c r="AB44" s="6"/>
      <c r="AD44" s="6"/>
      <c r="BL44" s="6"/>
      <c r="BM44" s="6"/>
      <c r="BN44" s="6">
        <f t="shared" si="9"/>
        <v>0</v>
      </c>
      <c r="BO44" s="6"/>
      <c r="BP44" s="6">
        <v>0</v>
      </c>
      <c r="BQ44" s="6"/>
      <c r="BR44" s="6">
        <f t="shared" si="10"/>
        <v>0</v>
      </c>
      <c r="BT44" s="6">
        <f t="shared" si="11"/>
        <v>0</v>
      </c>
      <c r="BV44" s="6">
        <f t="shared" si="12"/>
        <v>0</v>
      </c>
      <c r="BW44" s="6"/>
    </row>
    <row r="45" spans="1:75">
      <c r="A45" s="57"/>
      <c r="B45" s="17" t="s">
        <v>239</v>
      </c>
      <c r="C45"/>
      <c r="D45"/>
      <c r="E45"/>
      <c r="F45"/>
      <c r="G45"/>
      <c r="H45"/>
      <c r="I45"/>
      <c r="J45" s="49" t="s">
        <v>229</v>
      </c>
      <c r="K45"/>
      <c r="L45" s="132" t="s">
        <v>202</v>
      </c>
      <c r="M45" s="6"/>
      <c r="O45" s="6"/>
      <c r="Q45" s="6"/>
      <c r="R45" s="6">
        <v>0</v>
      </c>
      <c r="S45" s="6"/>
      <c r="T45" s="6"/>
      <c r="U45" s="6"/>
      <c r="V45" s="6"/>
      <c r="X45" s="6"/>
      <c r="Z45" s="6"/>
      <c r="AB45" s="6"/>
      <c r="AD45" s="6"/>
      <c r="BL45" s="6"/>
      <c r="BM45" s="6"/>
      <c r="BN45" s="6">
        <f t="shared" si="9"/>
        <v>0</v>
      </c>
      <c r="BO45" s="6"/>
      <c r="BP45" s="6">
        <v>0</v>
      </c>
      <c r="BQ45" s="6"/>
      <c r="BR45" s="6">
        <f t="shared" si="10"/>
        <v>0</v>
      </c>
      <c r="BT45" s="6">
        <f t="shared" si="11"/>
        <v>0</v>
      </c>
      <c r="BV45" s="6">
        <f t="shared" si="12"/>
        <v>0</v>
      </c>
      <c r="BW45" s="6"/>
    </row>
    <row r="46" spans="1:75">
      <c r="A46" s="57"/>
      <c r="B46" s="17" t="s">
        <v>240</v>
      </c>
      <c r="C46"/>
      <c r="D46"/>
      <c r="E46"/>
      <c r="F46"/>
      <c r="G46"/>
      <c r="H46"/>
      <c r="I46"/>
      <c r="J46" s="49" t="s">
        <v>229</v>
      </c>
      <c r="K46"/>
      <c r="L46" s="132" t="s">
        <v>202</v>
      </c>
      <c r="M46" s="6"/>
      <c r="O46" s="6"/>
      <c r="Q46" s="6"/>
      <c r="R46" s="6">
        <v>0</v>
      </c>
      <c r="S46" s="6"/>
      <c r="T46" s="6"/>
      <c r="U46" s="6"/>
      <c r="V46" s="6"/>
      <c r="X46" s="6"/>
      <c r="Z46" s="6"/>
      <c r="AB46" s="6"/>
      <c r="AD46" s="6"/>
      <c r="BL46" s="6"/>
      <c r="BM46" s="6"/>
      <c r="BN46" s="6">
        <f t="shared" si="9"/>
        <v>0</v>
      </c>
      <c r="BO46" s="6"/>
      <c r="BP46" s="6">
        <v>0</v>
      </c>
      <c r="BQ46" s="6"/>
      <c r="BR46" s="6">
        <f t="shared" si="10"/>
        <v>0</v>
      </c>
      <c r="BT46" s="6">
        <f t="shared" si="11"/>
        <v>0</v>
      </c>
      <c r="BV46" s="6">
        <f t="shared" si="12"/>
        <v>0</v>
      </c>
      <c r="BW46" s="6"/>
    </row>
    <row r="47" spans="1:75">
      <c r="A47" s="57"/>
      <c r="B47" s="17" t="s">
        <v>241</v>
      </c>
      <c r="C47"/>
      <c r="D47"/>
      <c r="E47"/>
      <c r="F47"/>
      <c r="G47"/>
      <c r="H47"/>
      <c r="I47"/>
      <c r="J47" s="49" t="s">
        <v>229</v>
      </c>
      <c r="K47"/>
      <c r="L47" s="132" t="s">
        <v>202</v>
      </c>
      <c r="M47" s="6"/>
      <c r="O47" s="6"/>
      <c r="Q47" s="6"/>
      <c r="R47" s="6">
        <v>0</v>
      </c>
      <c r="S47" s="6"/>
      <c r="T47" s="6"/>
      <c r="U47" s="6"/>
      <c r="V47" s="6"/>
      <c r="X47" s="6"/>
      <c r="Z47" s="6"/>
      <c r="AB47" s="6"/>
      <c r="AD47" s="6"/>
      <c r="BL47" s="6"/>
      <c r="BM47" s="6"/>
      <c r="BN47" s="6">
        <f t="shared" si="9"/>
        <v>0</v>
      </c>
      <c r="BO47" s="6"/>
      <c r="BP47" s="6">
        <v>0</v>
      </c>
      <c r="BQ47" s="6"/>
      <c r="BR47" s="6">
        <f t="shared" si="10"/>
        <v>0</v>
      </c>
      <c r="BT47" s="6">
        <f t="shared" si="11"/>
        <v>0</v>
      </c>
      <c r="BV47" s="6">
        <f t="shared" si="12"/>
        <v>0</v>
      </c>
      <c r="BW47" s="6"/>
    </row>
    <row r="48" spans="1:75">
      <c r="A48" s="57"/>
      <c r="B48" s="17" t="s">
        <v>67</v>
      </c>
      <c r="C48"/>
      <c r="D48"/>
      <c r="E48"/>
      <c r="F48"/>
      <c r="G48"/>
      <c r="H48"/>
      <c r="I48"/>
      <c r="J48" s="49" t="s">
        <v>229</v>
      </c>
      <c r="K48"/>
      <c r="L48" s="132" t="s">
        <v>202</v>
      </c>
      <c r="M48" s="6"/>
      <c r="O48" s="6"/>
      <c r="Q48" s="6"/>
      <c r="R48" s="6">
        <v>0</v>
      </c>
      <c r="S48" s="6"/>
      <c r="T48" s="6"/>
      <c r="U48" s="6"/>
      <c r="V48" s="6"/>
      <c r="X48" s="6">
        <v>0</v>
      </c>
      <c r="Z48" s="6"/>
      <c r="AB48" s="6"/>
      <c r="AD48" s="6"/>
      <c r="BL48" s="6"/>
      <c r="BM48" s="6"/>
      <c r="BN48" s="6">
        <f t="shared" si="9"/>
        <v>0</v>
      </c>
      <c r="BO48" s="6"/>
      <c r="BP48" s="6">
        <v>0</v>
      </c>
      <c r="BQ48" s="6"/>
      <c r="BR48" s="6">
        <f t="shared" si="10"/>
        <v>0</v>
      </c>
      <c r="BT48" s="6">
        <f t="shared" si="11"/>
        <v>0</v>
      </c>
      <c r="BV48" s="6">
        <f t="shared" si="12"/>
        <v>0</v>
      </c>
      <c r="BW48" s="6"/>
    </row>
    <row r="49" spans="1:75">
      <c r="A49" s="57"/>
      <c r="B49" s="17" t="s">
        <v>223</v>
      </c>
      <c r="C49"/>
      <c r="D49"/>
      <c r="E49"/>
      <c r="F49"/>
      <c r="G49"/>
      <c r="H49"/>
      <c r="I49"/>
      <c r="J49" s="49" t="s">
        <v>229</v>
      </c>
      <c r="K49"/>
      <c r="L49" s="132" t="s">
        <v>202</v>
      </c>
      <c r="M49" s="6"/>
      <c r="O49" s="6"/>
      <c r="Q49" s="6"/>
      <c r="R49" s="6">
        <v>0</v>
      </c>
      <c r="S49" s="6"/>
      <c r="T49" s="6"/>
      <c r="U49" s="6"/>
      <c r="V49" s="6"/>
      <c r="X49" s="6"/>
      <c r="Z49" s="6"/>
      <c r="AB49" s="6"/>
      <c r="AD49" s="6"/>
      <c r="BL49" s="6"/>
      <c r="BM49" s="6"/>
      <c r="BN49" s="6">
        <f t="shared" si="9"/>
        <v>0</v>
      </c>
      <c r="BO49" s="6"/>
      <c r="BP49" s="6">
        <v>0</v>
      </c>
      <c r="BQ49" s="6"/>
      <c r="BR49" s="6">
        <f t="shared" si="10"/>
        <v>0</v>
      </c>
      <c r="BT49" s="6">
        <f t="shared" si="11"/>
        <v>0</v>
      </c>
      <c r="BV49" s="6">
        <f t="shared" si="12"/>
        <v>0</v>
      </c>
      <c r="BW49" s="6"/>
    </row>
    <row r="50" spans="1:75">
      <c r="A50" s="57"/>
      <c r="B50" s="17" t="s">
        <v>276</v>
      </c>
      <c r="C50"/>
      <c r="D50"/>
      <c r="E50"/>
      <c r="F50"/>
      <c r="G50"/>
      <c r="H50"/>
      <c r="I50"/>
      <c r="J50" s="49" t="s">
        <v>229</v>
      </c>
      <c r="K50"/>
      <c r="L50" s="132" t="s">
        <v>202</v>
      </c>
      <c r="M50" s="6"/>
      <c r="N50" s="6">
        <v>0</v>
      </c>
      <c r="O50" s="6"/>
      <c r="P50" s="6">
        <v>0</v>
      </c>
      <c r="Q50" s="6"/>
      <c r="R50" s="6">
        <v>0</v>
      </c>
      <c r="S50" s="6"/>
      <c r="T50" s="6">
        <v>0</v>
      </c>
      <c r="U50" s="6"/>
      <c r="V50" s="6">
        <v>0</v>
      </c>
      <c r="X50" s="6">
        <v>0</v>
      </c>
      <c r="Z50" s="6">
        <v>0</v>
      </c>
      <c r="AB50" s="6">
        <v>0</v>
      </c>
      <c r="AD50" s="6">
        <v>0</v>
      </c>
      <c r="AF50" s="6">
        <v>0</v>
      </c>
      <c r="AH50" s="6">
        <v>0</v>
      </c>
      <c r="AJ50" s="6">
        <v>0</v>
      </c>
      <c r="AN50" s="6">
        <v>0</v>
      </c>
      <c r="AP50" s="6">
        <v>0</v>
      </c>
      <c r="AR50" s="6">
        <v>0</v>
      </c>
      <c r="AT50" s="6">
        <v>0</v>
      </c>
      <c r="AV50" s="6">
        <v>0</v>
      </c>
      <c r="AX50" s="6">
        <v>0</v>
      </c>
      <c r="AZ50" s="6">
        <v>0</v>
      </c>
      <c r="BB50" s="6">
        <v>0</v>
      </c>
      <c r="BD50" s="6">
        <v>0</v>
      </c>
      <c r="BF50" s="6">
        <v>0</v>
      </c>
      <c r="BH50" s="6">
        <v>0</v>
      </c>
      <c r="BJ50" s="6">
        <v>0</v>
      </c>
      <c r="BL50" s="6">
        <v>0</v>
      </c>
      <c r="BM50" s="6"/>
      <c r="BN50" s="6">
        <f t="shared" si="9"/>
        <v>0</v>
      </c>
      <c r="BO50" s="6"/>
      <c r="BP50" s="6">
        <v>0</v>
      </c>
      <c r="BQ50" s="6"/>
      <c r="BR50" s="6">
        <f t="shared" si="10"/>
        <v>0</v>
      </c>
      <c r="BT50" s="6">
        <f t="shared" si="11"/>
        <v>0</v>
      </c>
      <c r="BV50" s="6">
        <f t="shared" si="12"/>
        <v>0</v>
      </c>
      <c r="BW50" s="6"/>
    </row>
    <row r="51" spans="1:75" hidden="1">
      <c r="A51" s="57"/>
      <c r="B51" s="17" t="s">
        <v>146</v>
      </c>
      <c r="C51"/>
      <c r="D51"/>
      <c r="E51"/>
      <c r="F51"/>
      <c r="G51"/>
      <c r="H51"/>
      <c r="I51"/>
      <c r="J51" s="49" t="s">
        <v>229</v>
      </c>
      <c r="K51"/>
      <c r="L51" s="132" t="s">
        <v>202</v>
      </c>
      <c r="M51" s="6"/>
      <c r="N51" s="6">
        <v>0</v>
      </c>
      <c r="O51" s="6"/>
      <c r="P51" s="6">
        <v>0</v>
      </c>
      <c r="Q51" s="6"/>
      <c r="R51" s="6">
        <f t="shared" ref="R51:R68" si="13">+N51+P51</f>
        <v>0</v>
      </c>
      <c r="S51" s="6"/>
      <c r="T51" s="6">
        <v>0</v>
      </c>
      <c r="U51" s="6"/>
      <c r="V51" s="6">
        <v>0</v>
      </c>
      <c r="X51" s="6">
        <v>0</v>
      </c>
      <c r="Z51" s="6">
        <v>0</v>
      </c>
      <c r="AB51" s="6">
        <v>0</v>
      </c>
      <c r="AD51" s="6">
        <v>0</v>
      </c>
      <c r="AF51" s="6">
        <v>0</v>
      </c>
      <c r="AH51" s="6">
        <v>0</v>
      </c>
      <c r="AJ51" s="6">
        <v>0</v>
      </c>
      <c r="AN51" s="6">
        <v>0</v>
      </c>
      <c r="AP51" s="6">
        <v>0</v>
      </c>
      <c r="AR51" s="6">
        <v>0</v>
      </c>
      <c r="AT51" s="6">
        <v>0</v>
      </c>
      <c r="AV51" s="6">
        <v>0</v>
      </c>
      <c r="AX51" s="6">
        <v>0</v>
      </c>
      <c r="AZ51" s="6">
        <v>0</v>
      </c>
      <c r="BB51" s="6">
        <v>0</v>
      </c>
      <c r="BD51" s="6">
        <v>0</v>
      </c>
      <c r="BF51" s="6">
        <v>0</v>
      </c>
      <c r="BH51" s="6">
        <v>0</v>
      </c>
      <c r="BJ51" s="6">
        <v>0</v>
      </c>
      <c r="BL51" s="6">
        <v>0</v>
      </c>
      <c r="BM51" s="6"/>
      <c r="BN51" s="6">
        <f t="shared" si="9"/>
        <v>0</v>
      </c>
      <c r="BO51" s="6"/>
      <c r="BP51" s="6">
        <v>0</v>
      </c>
      <c r="BQ51" s="6"/>
      <c r="BR51" s="6">
        <f t="shared" si="10"/>
        <v>0</v>
      </c>
      <c r="BT51" s="6">
        <f t="shared" si="11"/>
        <v>0</v>
      </c>
      <c r="BV51" s="6">
        <f t="shared" si="12"/>
        <v>0</v>
      </c>
      <c r="BW51" s="6"/>
    </row>
    <row r="52" spans="1:75" hidden="1">
      <c r="A52" s="57"/>
      <c r="B52" s="17" t="s">
        <v>147</v>
      </c>
      <c r="C52"/>
      <c r="D52"/>
      <c r="E52"/>
      <c r="F52"/>
      <c r="G52"/>
      <c r="H52"/>
      <c r="I52"/>
      <c r="J52" s="49" t="s">
        <v>229</v>
      </c>
      <c r="K52"/>
      <c r="L52" s="132" t="s">
        <v>202</v>
      </c>
      <c r="M52" s="6"/>
      <c r="N52" s="6">
        <v>0</v>
      </c>
      <c r="O52" s="6"/>
      <c r="P52" s="6">
        <v>0</v>
      </c>
      <c r="Q52" s="6"/>
      <c r="R52" s="6">
        <f t="shared" si="13"/>
        <v>0</v>
      </c>
      <c r="S52" s="6"/>
      <c r="T52" s="6">
        <v>0</v>
      </c>
      <c r="U52" s="6"/>
      <c r="V52" s="6">
        <v>0</v>
      </c>
      <c r="X52" s="6">
        <v>0</v>
      </c>
      <c r="Z52" s="6">
        <v>0</v>
      </c>
      <c r="AB52" s="6">
        <v>0</v>
      </c>
      <c r="AD52" s="6">
        <v>0</v>
      </c>
      <c r="AF52" s="6">
        <v>0</v>
      </c>
      <c r="AH52" s="6">
        <v>0</v>
      </c>
      <c r="AJ52" s="6">
        <v>0</v>
      </c>
      <c r="AN52" s="6">
        <v>0</v>
      </c>
      <c r="AP52" s="6">
        <v>0</v>
      </c>
      <c r="AR52" s="6">
        <v>0</v>
      </c>
      <c r="AT52" s="6">
        <v>0</v>
      </c>
      <c r="AV52" s="6">
        <v>0</v>
      </c>
      <c r="AX52" s="6">
        <v>0</v>
      </c>
      <c r="AZ52" s="6">
        <v>0</v>
      </c>
      <c r="BB52" s="6">
        <v>0</v>
      </c>
      <c r="BD52" s="6">
        <v>0</v>
      </c>
      <c r="BF52" s="6">
        <v>0</v>
      </c>
      <c r="BH52" s="6">
        <v>0</v>
      </c>
      <c r="BJ52" s="6">
        <v>0</v>
      </c>
      <c r="BL52" s="6">
        <v>0</v>
      </c>
      <c r="BM52" s="6"/>
      <c r="BN52" s="6">
        <f t="shared" si="9"/>
        <v>0</v>
      </c>
      <c r="BO52" s="6"/>
      <c r="BP52" s="6">
        <v>0</v>
      </c>
      <c r="BQ52" s="6"/>
      <c r="BR52" s="6">
        <f t="shared" si="10"/>
        <v>0</v>
      </c>
      <c r="BT52" s="6">
        <f t="shared" si="11"/>
        <v>0</v>
      </c>
      <c r="BV52" s="6">
        <f t="shared" si="12"/>
        <v>0</v>
      </c>
      <c r="BW52" s="6"/>
    </row>
    <row r="53" spans="1:75" hidden="1">
      <c r="A53" s="57"/>
      <c r="B53" s="17" t="s">
        <v>58</v>
      </c>
      <c r="C53"/>
      <c r="D53"/>
      <c r="E53"/>
      <c r="F53"/>
      <c r="G53"/>
      <c r="H53"/>
      <c r="I53"/>
      <c r="J53" s="49" t="s">
        <v>229</v>
      </c>
      <c r="K53"/>
      <c r="L53" s="132" t="s">
        <v>202</v>
      </c>
      <c r="M53" s="6"/>
      <c r="N53" s="6">
        <v>0</v>
      </c>
      <c r="O53" s="6"/>
      <c r="P53" s="6">
        <v>0</v>
      </c>
      <c r="Q53" s="6"/>
      <c r="R53" s="6">
        <f t="shared" si="13"/>
        <v>0</v>
      </c>
      <c r="S53" s="6"/>
      <c r="T53" s="6">
        <v>0</v>
      </c>
      <c r="U53" s="6"/>
      <c r="V53" s="6">
        <v>0</v>
      </c>
      <c r="X53" s="6">
        <v>0</v>
      </c>
      <c r="Z53" s="6">
        <v>0</v>
      </c>
      <c r="AB53" s="6">
        <v>0</v>
      </c>
      <c r="AD53" s="6">
        <v>0</v>
      </c>
      <c r="AF53" s="6">
        <v>0</v>
      </c>
      <c r="AH53" s="6">
        <v>0</v>
      </c>
      <c r="AJ53" s="6">
        <v>0</v>
      </c>
      <c r="AN53" s="6">
        <v>0</v>
      </c>
      <c r="AP53" s="6">
        <v>0</v>
      </c>
      <c r="AR53" s="6">
        <v>0</v>
      </c>
      <c r="AT53" s="6">
        <v>0</v>
      </c>
      <c r="AV53" s="6">
        <v>0</v>
      </c>
      <c r="AX53" s="6">
        <v>0</v>
      </c>
      <c r="AZ53" s="6">
        <v>0</v>
      </c>
      <c r="BB53" s="6">
        <v>0</v>
      </c>
      <c r="BD53" s="6">
        <v>0</v>
      </c>
      <c r="BF53" s="6">
        <v>0</v>
      </c>
      <c r="BH53" s="6">
        <v>0</v>
      </c>
      <c r="BJ53" s="6">
        <v>0</v>
      </c>
      <c r="BL53" s="6">
        <v>0</v>
      </c>
      <c r="BM53" s="6"/>
      <c r="BN53" s="6">
        <f t="shared" si="9"/>
        <v>0</v>
      </c>
      <c r="BO53" s="6"/>
      <c r="BP53" s="6">
        <v>0</v>
      </c>
      <c r="BQ53" s="6"/>
      <c r="BR53" s="6">
        <f t="shared" si="10"/>
        <v>0</v>
      </c>
      <c r="BT53" s="6">
        <f t="shared" si="11"/>
        <v>0</v>
      </c>
      <c r="BV53" s="6">
        <f t="shared" si="12"/>
        <v>0</v>
      </c>
      <c r="BW53" s="6"/>
    </row>
    <row r="54" spans="1:75" hidden="1">
      <c r="A54" s="57"/>
      <c r="B54" s="17" t="s">
        <v>148</v>
      </c>
      <c r="C54"/>
      <c r="D54"/>
      <c r="E54"/>
      <c r="F54"/>
      <c r="G54"/>
      <c r="H54"/>
      <c r="I54"/>
      <c r="J54" s="49" t="s">
        <v>229</v>
      </c>
      <c r="K54"/>
      <c r="L54" s="132" t="s">
        <v>202</v>
      </c>
      <c r="M54" s="6"/>
      <c r="N54" s="6">
        <v>0</v>
      </c>
      <c r="O54" s="6"/>
      <c r="P54" s="6">
        <v>0</v>
      </c>
      <c r="Q54" s="6"/>
      <c r="R54" s="6">
        <f t="shared" si="13"/>
        <v>0</v>
      </c>
      <c r="S54" s="6"/>
      <c r="T54" s="6">
        <v>0</v>
      </c>
      <c r="U54" s="6"/>
      <c r="V54" s="6">
        <v>0</v>
      </c>
      <c r="X54" s="6">
        <v>0</v>
      </c>
      <c r="Z54" s="6">
        <v>0</v>
      </c>
      <c r="AB54" s="6">
        <v>0</v>
      </c>
      <c r="AD54" s="6">
        <v>0</v>
      </c>
      <c r="AF54" s="6">
        <v>0</v>
      </c>
      <c r="AH54" s="6">
        <v>0</v>
      </c>
      <c r="AJ54" s="6">
        <v>0</v>
      </c>
      <c r="AN54" s="6">
        <v>0</v>
      </c>
      <c r="AP54" s="6">
        <v>0</v>
      </c>
      <c r="AR54" s="6">
        <v>0</v>
      </c>
      <c r="AT54" s="6">
        <v>0</v>
      </c>
      <c r="AV54" s="6">
        <v>0</v>
      </c>
      <c r="AX54" s="6">
        <v>0</v>
      </c>
      <c r="AZ54" s="6">
        <v>0</v>
      </c>
      <c r="BB54" s="6">
        <v>0</v>
      </c>
      <c r="BD54" s="6">
        <v>0</v>
      </c>
      <c r="BF54" s="6">
        <v>0</v>
      </c>
      <c r="BH54" s="6">
        <v>0</v>
      </c>
      <c r="BJ54" s="6">
        <v>0</v>
      </c>
      <c r="BL54" s="6">
        <v>0</v>
      </c>
      <c r="BM54" s="6"/>
      <c r="BN54" s="6">
        <f t="shared" si="9"/>
        <v>0</v>
      </c>
      <c r="BO54" s="6"/>
      <c r="BP54" s="6">
        <v>0</v>
      </c>
      <c r="BQ54" s="6"/>
      <c r="BR54" s="6">
        <f t="shared" si="10"/>
        <v>0</v>
      </c>
      <c r="BT54" s="6">
        <f t="shared" si="11"/>
        <v>0</v>
      </c>
      <c r="BV54" s="6">
        <f t="shared" si="12"/>
        <v>0</v>
      </c>
      <c r="BW54" s="6"/>
    </row>
    <row r="55" spans="1:75" hidden="1">
      <c r="A55" s="57"/>
      <c r="B55" s="17" t="s">
        <v>52</v>
      </c>
      <c r="C55"/>
      <c r="D55"/>
      <c r="E55"/>
      <c r="F55"/>
      <c r="G55"/>
      <c r="H55"/>
      <c r="I55"/>
      <c r="J55" s="49" t="s">
        <v>229</v>
      </c>
      <c r="K55"/>
      <c r="L55" s="132" t="s">
        <v>202</v>
      </c>
      <c r="M55" s="6"/>
      <c r="N55" s="6">
        <v>0</v>
      </c>
      <c r="O55" s="6"/>
      <c r="P55" s="6">
        <v>0</v>
      </c>
      <c r="Q55" s="6"/>
      <c r="R55" s="6">
        <f t="shared" si="13"/>
        <v>0</v>
      </c>
      <c r="S55" s="6"/>
      <c r="T55" s="6">
        <v>0</v>
      </c>
      <c r="U55" s="6"/>
      <c r="V55" s="6">
        <v>0</v>
      </c>
      <c r="X55" s="6">
        <v>0</v>
      </c>
      <c r="Z55" s="6">
        <v>0</v>
      </c>
      <c r="AB55" s="6">
        <v>0</v>
      </c>
      <c r="AD55" s="6">
        <v>0</v>
      </c>
      <c r="AF55" s="6">
        <v>0</v>
      </c>
      <c r="AH55" s="6">
        <v>0</v>
      </c>
      <c r="AJ55" s="6">
        <v>0</v>
      </c>
      <c r="AN55" s="6">
        <v>0</v>
      </c>
      <c r="AP55" s="6">
        <v>0</v>
      </c>
      <c r="AR55" s="6">
        <v>0</v>
      </c>
      <c r="AT55" s="6">
        <v>0</v>
      </c>
      <c r="AV55" s="6">
        <v>0</v>
      </c>
      <c r="AX55" s="6">
        <v>0</v>
      </c>
      <c r="AZ55" s="6">
        <v>0</v>
      </c>
      <c r="BB55" s="6">
        <v>0</v>
      </c>
      <c r="BD55" s="6">
        <v>0</v>
      </c>
      <c r="BF55" s="6">
        <v>0</v>
      </c>
      <c r="BH55" s="6">
        <v>0</v>
      </c>
      <c r="BJ55" s="6">
        <v>0</v>
      </c>
      <c r="BL55" s="6">
        <v>0</v>
      </c>
      <c r="BM55" s="6"/>
      <c r="BN55" s="6">
        <f t="shared" si="9"/>
        <v>0</v>
      </c>
      <c r="BO55" s="6"/>
      <c r="BP55" s="6">
        <v>0</v>
      </c>
      <c r="BQ55" s="6"/>
      <c r="BR55" s="6">
        <f t="shared" si="10"/>
        <v>0</v>
      </c>
      <c r="BT55" s="6">
        <f t="shared" si="11"/>
        <v>0</v>
      </c>
      <c r="BV55" s="6">
        <f t="shared" si="12"/>
        <v>0</v>
      </c>
      <c r="BW55" s="6"/>
    </row>
    <row r="56" spans="1:75" hidden="1">
      <c r="A56" s="57"/>
      <c r="B56" s="17" t="s">
        <v>53</v>
      </c>
      <c r="C56"/>
      <c r="D56"/>
      <c r="E56"/>
      <c r="F56"/>
      <c r="G56"/>
      <c r="H56"/>
      <c r="I56"/>
      <c r="J56" s="49" t="s">
        <v>229</v>
      </c>
      <c r="K56"/>
      <c r="L56" s="132" t="s">
        <v>202</v>
      </c>
      <c r="M56" s="6"/>
      <c r="N56" s="6">
        <v>0</v>
      </c>
      <c r="O56" s="6"/>
      <c r="P56" s="6">
        <v>0</v>
      </c>
      <c r="Q56" s="6"/>
      <c r="R56" s="6">
        <f t="shared" si="13"/>
        <v>0</v>
      </c>
      <c r="S56" s="6"/>
      <c r="T56" s="6">
        <v>0</v>
      </c>
      <c r="U56" s="6"/>
      <c r="V56" s="6">
        <v>0</v>
      </c>
      <c r="X56" s="6">
        <v>0</v>
      </c>
      <c r="Z56" s="6">
        <v>0</v>
      </c>
      <c r="AB56" s="6">
        <v>0</v>
      </c>
      <c r="AD56" s="6">
        <v>0</v>
      </c>
      <c r="AF56" s="6">
        <v>0</v>
      </c>
      <c r="AH56" s="6">
        <v>0</v>
      </c>
      <c r="AJ56" s="6">
        <v>0</v>
      </c>
      <c r="AN56" s="6">
        <v>0</v>
      </c>
      <c r="AP56" s="6">
        <v>0</v>
      </c>
      <c r="AR56" s="6">
        <v>0</v>
      </c>
      <c r="AT56" s="6">
        <v>0</v>
      </c>
      <c r="AV56" s="6">
        <v>0</v>
      </c>
      <c r="AX56" s="6">
        <v>0</v>
      </c>
      <c r="AZ56" s="6">
        <v>0</v>
      </c>
      <c r="BB56" s="6">
        <v>0</v>
      </c>
      <c r="BD56" s="6">
        <v>0</v>
      </c>
      <c r="BF56" s="6">
        <v>0</v>
      </c>
      <c r="BH56" s="6">
        <v>0</v>
      </c>
      <c r="BJ56" s="6">
        <v>0</v>
      </c>
      <c r="BL56" s="6">
        <v>0</v>
      </c>
      <c r="BM56" s="6"/>
      <c r="BN56" s="6">
        <f t="shared" si="9"/>
        <v>0</v>
      </c>
      <c r="BO56" s="6"/>
      <c r="BP56" s="6">
        <v>0</v>
      </c>
      <c r="BQ56" s="6"/>
      <c r="BR56" s="6">
        <f t="shared" si="10"/>
        <v>0</v>
      </c>
      <c r="BT56" s="6">
        <f t="shared" si="11"/>
        <v>0</v>
      </c>
      <c r="BV56" s="6">
        <f t="shared" si="12"/>
        <v>0</v>
      </c>
      <c r="BW56" s="6"/>
    </row>
    <row r="57" spans="1:75" hidden="1">
      <c r="A57" s="57"/>
      <c r="B57" s="17" t="s">
        <v>54</v>
      </c>
      <c r="C57"/>
      <c r="D57"/>
      <c r="E57"/>
      <c r="F57"/>
      <c r="G57"/>
      <c r="H57"/>
      <c r="I57"/>
      <c r="J57" s="49" t="s">
        <v>229</v>
      </c>
      <c r="K57"/>
      <c r="L57" s="132" t="s">
        <v>202</v>
      </c>
      <c r="M57" s="6"/>
      <c r="N57" s="6">
        <v>0</v>
      </c>
      <c r="O57" s="6"/>
      <c r="P57" s="6">
        <v>0</v>
      </c>
      <c r="Q57" s="6"/>
      <c r="R57" s="6">
        <f t="shared" si="13"/>
        <v>0</v>
      </c>
      <c r="S57" s="6"/>
      <c r="T57" s="6">
        <v>0</v>
      </c>
      <c r="U57" s="6"/>
      <c r="V57" s="6">
        <v>0</v>
      </c>
      <c r="X57" s="6">
        <v>0</v>
      </c>
      <c r="Z57" s="6">
        <v>0</v>
      </c>
      <c r="AB57" s="6">
        <v>0</v>
      </c>
      <c r="AD57" s="6">
        <v>0</v>
      </c>
      <c r="AF57" s="6">
        <v>0</v>
      </c>
      <c r="AH57" s="6">
        <v>0</v>
      </c>
      <c r="AJ57" s="6">
        <v>0</v>
      </c>
      <c r="AN57" s="6">
        <v>0</v>
      </c>
      <c r="AP57" s="6">
        <v>0</v>
      </c>
      <c r="AR57" s="6">
        <v>0</v>
      </c>
      <c r="AT57" s="6">
        <v>0</v>
      </c>
      <c r="AV57" s="6">
        <v>0</v>
      </c>
      <c r="AX57" s="6">
        <v>0</v>
      </c>
      <c r="AZ57" s="6">
        <v>0</v>
      </c>
      <c r="BB57" s="6">
        <v>0</v>
      </c>
      <c r="BD57" s="6">
        <v>0</v>
      </c>
      <c r="BF57" s="6">
        <v>0</v>
      </c>
      <c r="BH57" s="6">
        <v>0</v>
      </c>
      <c r="BJ57" s="6">
        <v>0</v>
      </c>
      <c r="BL57" s="6">
        <v>0</v>
      </c>
      <c r="BM57" s="6"/>
      <c r="BN57" s="6">
        <f t="shared" si="9"/>
        <v>0</v>
      </c>
      <c r="BO57" s="6"/>
      <c r="BP57" s="6">
        <v>0</v>
      </c>
      <c r="BQ57" s="6"/>
      <c r="BR57" s="6">
        <f t="shared" si="10"/>
        <v>0</v>
      </c>
      <c r="BT57" s="6">
        <f t="shared" si="11"/>
        <v>0</v>
      </c>
      <c r="BV57" s="6">
        <f t="shared" si="12"/>
        <v>0</v>
      </c>
      <c r="BW57" s="6"/>
    </row>
    <row r="58" spans="1:75" hidden="1">
      <c r="A58" s="57"/>
      <c r="B58" s="17" t="s">
        <v>149</v>
      </c>
      <c r="C58"/>
      <c r="D58"/>
      <c r="E58"/>
      <c r="F58"/>
      <c r="G58"/>
      <c r="H58"/>
      <c r="I58"/>
      <c r="J58" s="49" t="s">
        <v>229</v>
      </c>
      <c r="K58"/>
      <c r="L58" s="132" t="s">
        <v>202</v>
      </c>
      <c r="M58" s="6"/>
      <c r="N58" s="6">
        <v>0</v>
      </c>
      <c r="O58" s="6"/>
      <c r="P58" s="6">
        <v>0</v>
      </c>
      <c r="Q58" s="6"/>
      <c r="R58" s="6">
        <f t="shared" si="13"/>
        <v>0</v>
      </c>
      <c r="S58" s="6"/>
      <c r="T58" s="6">
        <v>0</v>
      </c>
      <c r="U58" s="6"/>
      <c r="V58" s="6">
        <v>0</v>
      </c>
      <c r="X58" s="6">
        <v>0</v>
      </c>
      <c r="Z58" s="6">
        <v>0</v>
      </c>
      <c r="AB58" s="6">
        <v>0</v>
      </c>
      <c r="AD58" s="6">
        <v>0</v>
      </c>
      <c r="AF58" s="6">
        <v>0</v>
      </c>
      <c r="AH58" s="6">
        <v>0</v>
      </c>
      <c r="AJ58" s="6">
        <v>0</v>
      </c>
      <c r="AN58" s="6">
        <v>0</v>
      </c>
      <c r="AP58" s="6">
        <v>0</v>
      </c>
      <c r="AR58" s="6">
        <v>0</v>
      </c>
      <c r="AT58" s="6">
        <v>0</v>
      </c>
      <c r="AV58" s="6">
        <v>0</v>
      </c>
      <c r="AX58" s="6">
        <v>0</v>
      </c>
      <c r="AZ58" s="6">
        <v>0</v>
      </c>
      <c r="BB58" s="6">
        <v>0</v>
      </c>
      <c r="BD58" s="6">
        <v>0</v>
      </c>
      <c r="BF58" s="6">
        <v>0</v>
      </c>
      <c r="BH58" s="6">
        <v>0</v>
      </c>
      <c r="BJ58" s="6">
        <v>0</v>
      </c>
      <c r="BL58" s="6">
        <v>0</v>
      </c>
      <c r="BM58" s="6"/>
      <c r="BN58" s="6">
        <f t="shared" si="9"/>
        <v>0</v>
      </c>
      <c r="BO58" s="6"/>
      <c r="BP58" s="6">
        <v>0</v>
      </c>
      <c r="BQ58" s="6"/>
      <c r="BR58" s="6">
        <f t="shared" si="10"/>
        <v>0</v>
      </c>
      <c r="BT58" s="6">
        <f t="shared" si="11"/>
        <v>0</v>
      </c>
      <c r="BV58" s="6">
        <f t="shared" si="12"/>
        <v>0</v>
      </c>
      <c r="BW58" s="6"/>
    </row>
    <row r="59" spans="1:75" hidden="1">
      <c r="A59" s="57"/>
      <c r="B59" s="17" t="s">
        <v>55</v>
      </c>
      <c r="C59"/>
      <c r="D59"/>
      <c r="E59"/>
      <c r="F59"/>
      <c r="G59"/>
      <c r="H59"/>
      <c r="I59"/>
      <c r="J59" s="49" t="s">
        <v>229</v>
      </c>
      <c r="K59"/>
      <c r="L59" s="132" t="s">
        <v>202</v>
      </c>
      <c r="M59" s="6"/>
      <c r="N59" s="6">
        <v>0</v>
      </c>
      <c r="O59" s="6"/>
      <c r="P59" s="6">
        <v>0</v>
      </c>
      <c r="Q59" s="6"/>
      <c r="R59" s="6">
        <f t="shared" si="13"/>
        <v>0</v>
      </c>
      <c r="S59" s="6"/>
      <c r="T59" s="6">
        <v>0</v>
      </c>
      <c r="U59" s="6"/>
      <c r="V59" s="6">
        <v>0</v>
      </c>
      <c r="X59" s="6">
        <v>0</v>
      </c>
      <c r="Z59" s="6">
        <v>0</v>
      </c>
      <c r="AB59" s="6">
        <v>0</v>
      </c>
      <c r="AD59" s="6">
        <v>0</v>
      </c>
      <c r="AF59" s="6">
        <v>0</v>
      </c>
      <c r="AH59" s="6">
        <v>0</v>
      </c>
      <c r="AJ59" s="6">
        <v>0</v>
      </c>
      <c r="AN59" s="6">
        <v>0</v>
      </c>
      <c r="AP59" s="6">
        <v>0</v>
      </c>
      <c r="AR59" s="6">
        <v>0</v>
      </c>
      <c r="AT59" s="6">
        <v>0</v>
      </c>
      <c r="AV59" s="6">
        <v>0</v>
      </c>
      <c r="AX59" s="6">
        <v>0</v>
      </c>
      <c r="AZ59" s="6">
        <v>0</v>
      </c>
      <c r="BB59" s="6">
        <v>0</v>
      </c>
      <c r="BD59" s="6">
        <v>0</v>
      </c>
      <c r="BF59" s="6">
        <v>0</v>
      </c>
      <c r="BH59" s="6">
        <v>0</v>
      </c>
      <c r="BJ59" s="6">
        <v>0</v>
      </c>
      <c r="BL59" s="6">
        <v>0</v>
      </c>
      <c r="BM59" s="6"/>
      <c r="BN59" s="6">
        <f t="shared" si="9"/>
        <v>0</v>
      </c>
      <c r="BO59" s="6"/>
      <c r="BP59" s="6">
        <v>0</v>
      </c>
      <c r="BQ59" s="6"/>
      <c r="BR59" s="6">
        <f t="shared" si="10"/>
        <v>0</v>
      </c>
      <c r="BT59" s="6">
        <f t="shared" si="11"/>
        <v>0</v>
      </c>
      <c r="BV59" s="6">
        <f t="shared" si="12"/>
        <v>0</v>
      </c>
      <c r="BW59" s="6"/>
    </row>
    <row r="60" spans="1:75" hidden="1">
      <c r="A60" s="57"/>
      <c r="B60" s="17" t="s">
        <v>56</v>
      </c>
      <c r="C60"/>
      <c r="D60"/>
      <c r="E60"/>
      <c r="F60"/>
      <c r="G60"/>
      <c r="H60"/>
      <c r="I60"/>
      <c r="J60" s="49" t="s">
        <v>229</v>
      </c>
      <c r="K60"/>
      <c r="L60" s="132" t="s">
        <v>202</v>
      </c>
      <c r="M60" s="6"/>
      <c r="N60" s="6">
        <v>0</v>
      </c>
      <c r="O60" s="6"/>
      <c r="P60" s="6">
        <v>0</v>
      </c>
      <c r="Q60" s="6"/>
      <c r="R60" s="6">
        <f t="shared" si="13"/>
        <v>0</v>
      </c>
      <c r="S60" s="6"/>
      <c r="T60" s="6">
        <v>0</v>
      </c>
      <c r="U60" s="6"/>
      <c r="V60" s="6">
        <v>0</v>
      </c>
      <c r="X60" s="6">
        <v>0</v>
      </c>
      <c r="Z60" s="6">
        <v>0</v>
      </c>
      <c r="AB60" s="6">
        <v>0</v>
      </c>
      <c r="AD60" s="6">
        <v>0</v>
      </c>
      <c r="AF60" s="6">
        <v>0</v>
      </c>
      <c r="AH60" s="6">
        <v>0</v>
      </c>
      <c r="AJ60" s="6">
        <v>0</v>
      </c>
      <c r="AN60" s="6">
        <v>0</v>
      </c>
      <c r="AP60" s="6">
        <v>0</v>
      </c>
      <c r="AR60" s="6">
        <v>0</v>
      </c>
      <c r="AT60" s="6">
        <v>0</v>
      </c>
      <c r="AV60" s="6">
        <v>0</v>
      </c>
      <c r="AX60" s="6">
        <v>0</v>
      </c>
      <c r="AZ60" s="6">
        <v>0</v>
      </c>
      <c r="BB60" s="6">
        <v>0</v>
      </c>
      <c r="BD60" s="6">
        <v>0</v>
      </c>
      <c r="BF60" s="6">
        <v>0</v>
      </c>
      <c r="BH60" s="6">
        <v>0</v>
      </c>
      <c r="BJ60" s="6">
        <v>0</v>
      </c>
      <c r="BL60" s="6">
        <v>0</v>
      </c>
      <c r="BM60" s="6"/>
      <c r="BN60" s="6">
        <f t="shared" si="9"/>
        <v>0</v>
      </c>
      <c r="BO60" s="6"/>
      <c r="BP60" s="6">
        <v>0</v>
      </c>
      <c r="BQ60" s="6"/>
      <c r="BR60" s="6">
        <f t="shared" si="10"/>
        <v>0</v>
      </c>
      <c r="BT60" s="6">
        <f t="shared" si="11"/>
        <v>0</v>
      </c>
      <c r="BV60" s="6">
        <f t="shared" si="12"/>
        <v>0</v>
      </c>
      <c r="BW60" s="6"/>
    </row>
    <row r="61" spans="1:75" hidden="1">
      <c r="A61" s="57"/>
      <c r="B61" s="17" t="s">
        <v>57</v>
      </c>
      <c r="C61"/>
      <c r="D61"/>
      <c r="E61"/>
      <c r="F61"/>
      <c r="G61"/>
      <c r="H61"/>
      <c r="I61"/>
      <c r="J61" s="49" t="s">
        <v>229</v>
      </c>
      <c r="K61"/>
      <c r="L61" s="132" t="s">
        <v>202</v>
      </c>
      <c r="M61" s="6"/>
      <c r="N61" s="6">
        <v>0</v>
      </c>
      <c r="O61" s="6"/>
      <c r="P61" s="6">
        <v>0</v>
      </c>
      <c r="Q61" s="6"/>
      <c r="R61" s="6">
        <f t="shared" si="13"/>
        <v>0</v>
      </c>
      <c r="S61" s="6"/>
      <c r="T61" s="6">
        <v>0</v>
      </c>
      <c r="U61" s="6"/>
      <c r="V61" s="6">
        <v>0</v>
      </c>
      <c r="X61" s="6">
        <v>0</v>
      </c>
      <c r="Z61" s="6">
        <v>0</v>
      </c>
      <c r="AB61" s="6">
        <v>0</v>
      </c>
      <c r="AD61" s="6">
        <v>0</v>
      </c>
      <c r="AF61" s="6">
        <v>0</v>
      </c>
      <c r="AH61" s="6">
        <v>0</v>
      </c>
      <c r="AJ61" s="6">
        <v>0</v>
      </c>
      <c r="AN61" s="6">
        <v>0</v>
      </c>
      <c r="AP61" s="6">
        <v>0</v>
      </c>
      <c r="AR61" s="6">
        <v>0</v>
      </c>
      <c r="AT61" s="6">
        <v>0</v>
      </c>
      <c r="AV61" s="6">
        <v>0</v>
      </c>
      <c r="AX61" s="6">
        <v>0</v>
      </c>
      <c r="AZ61" s="6">
        <v>0</v>
      </c>
      <c r="BB61" s="6">
        <v>0</v>
      </c>
      <c r="BD61" s="6">
        <v>0</v>
      </c>
      <c r="BF61" s="6">
        <v>0</v>
      </c>
      <c r="BH61" s="6">
        <v>0</v>
      </c>
      <c r="BJ61" s="6">
        <v>0</v>
      </c>
      <c r="BL61" s="6">
        <v>0</v>
      </c>
      <c r="BM61" s="6"/>
      <c r="BN61" s="6">
        <f t="shared" si="9"/>
        <v>0</v>
      </c>
      <c r="BO61" s="6"/>
      <c r="BP61" s="6">
        <v>0</v>
      </c>
      <c r="BQ61" s="6"/>
      <c r="BR61" s="6">
        <f t="shared" si="10"/>
        <v>0</v>
      </c>
      <c r="BT61" s="6">
        <f t="shared" si="11"/>
        <v>0</v>
      </c>
      <c r="BV61" s="6">
        <f t="shared" si="12"/>
        <v>0</v>
      </c>
      <c r="BW61" s="6"/>
    </row>
    <row r="62" spans="1:75" hidden="1">
      <c r="A62" s="57"/>
      <c r="B62" s="17" t="s">
        <v>150</v>
      </c>
      <c r="C62"/>
      <c r="D62"/>
      <c r="E62"/>
      <c r="F62"/>
      <c r="G62"/>
      <c r="H62"/>
      <c r="I62"/>
      <c r="J62" s="49" t="s">
        <v>229</v>
      </c>
      <c r="K62"/>
      <c r="L62" s="132" t="s">
        <v>202</v>
      </c>
      <c r="M62" s="6"/>
      <c r="N62" s="6">
        <v>0</v>
      </c>
      <c r="O62" s="6"/>
      <c r="P62" s="6">
        <v>0</v>
      </c>
      <c r="Q62" s="6"/>
      <c r="R62" s="6">
        <f t="shared" si="13"/>
        <v>0</v>
      </c>
      <c r="S62" s="6"/>
      <c r="T62" s="6">
        <v>0</v>
      </c>
      <c r="U62" s="6"/>
      <c r="V62" s="6">
        <v>0</v>
      </c>
      <c r="X62" s="6">
        <v>0</v>
      </c>
      <c r="Z62" s="6">
        <v>0</v>
      </c>
      <c r="AB62" s="6">
        <v>0</v>
      </c>
      <c r="AD62" s="6">
        <v>0</v>
      </c>
      <c r="AF62" s="6">
        <v>0</v>
      </c>
      <c r="AH62" s="6">
        <v>0</v>
      </c>
      <c r="AJ62" s="6">
        <v>0</v>
      </c>
      <c r="AN62" s="6">
        <v>0</v>
      </c>
      <c r="AP62" s="6">
        <v>0</v>
      </c>
      <c r="AR62" s="6">
        <v>0</v>
      </c>
      <c r="AT62" s="6">
        <v>0</v>
      </c>
      <c r="AV62" s="6">
        <v>0</v>
      </c>
      <c r="AX62" s="6">
        <v>0</v>
      </c>
      <c r="AZ62" s="6">
        <v>0</v>
      </c>
      <c r="BB62" s="6">
        <v>0</v>
      </c>
      <c r="BD62" s="6">
        <v>0</v>
      </c>
      <c r="BF62" s="6">
        <v>0</v>
      </c>
      <c r="BH62" s="6">
        <v>0</v>
      </c>
      <c r="BJ62" s="6">
        <v>0</v>
      </c>
      <c r="BL62" s="6">
        <v>0</v>
      </c>
      <c r="BM62" s="6"/>
      <c r="BN62" s="6">
        <f t="shared" si="9"/>
        <v>0</v>
      </c>
      <c r="BO62" s="6"/>
      <c r="BP62" s="6">
        <v>0</v>
      </c>
      <c r="BQ62" s="6"/>
      <c r="BR62" s="6">
        <f t="shared" si="10"/>
        <v>0</v>
      </c>
      <c r="BT62" s="6">
        <f t="shared" si="11"/>
        <v>0</v>
      </c>
      <c r="BV62" s="6">
        <f t="shared" si="12"/>
        <v>0</v>
      </c>
      <c r="BW62" s="6"/>
    </row>
    <row r="63" spans="1:75" hidden="1">
      <c r="A63" s="57"/>
      <c r="B63" s="17" t="s">
        <v>151</v>
      </c>
      <c r="C63"/>
      <c r="D63"/>
      <c r="E63"/>
      <c r="F63"/>
      <c r="G63"/>
      <c r="H63"/>
      <c r="I63"/>
      <c r="J63" s="49" t="s">
        <v>229</v>
      </c>
      <c r="K63"/>
      <c r="L63" s="132" t="s">
        <v>202</v>
      </c>
      <c r="M63" s="6"/>
      <c r="N63" s="6">
        <v>0</v>
      </c>
      <c r="O63" s="6"/>
      <c r="P63" s="6">
        <v>0</v>
      </c>
      <c r="Q63" s="6"/>
      <c r="R63" s="6">
        <f t="shared" si="13"/>
        <v>0</v>
      </c>
      <c r="S63" s="6"/>
      <c r="T63" s="6">
        <v>0</v>
      </c>
      <c r="U63" s="6"/>
      <c r="V63" s="6">
        <v>0</v>
      </c>
      <c r="X63" s="6">
        <v>0</v>
      </c>
      <c r="Z63" s="6">
        <v>0</v>
      </c>
      <c r="AB63" s="6">
        <v>0</v>
      </c>
      <c r="AD63" s="6">
        <v>0</v>
      </c>
      <c r="AF63" s="6">
        <v>0</v>
      </c>
      <c r="AH63" s="6">
        <v>0</v>
      </c>
      <c r="AJ63" s="6">
        <v>0</v>
      </c>
      <c r="AN63" s="6">
        <v>0</v>
      </c>
      <c r="AP63" s="6">
        <v>0</v>
      </c>
      <c r="AR63" s="6">
        <v>0</v>
      </c>
      <c r="AT63" s="6">
        <v>0</v>
      </c>
      <c r="AV63" s="6">
        <v>0</v>
      </c>
      <c r="AX63" s="6">
        <v>0</v>
      </c>
      <c r="AZ63" s="6">
        <v>0</v>
      </c>
      <c r="BB63" s="6">
        <v>0</v>
      </c>
      <c r="BD63" s="6">
        <v>0</v>
      </c>
      <c r="BF63" s="6">
        <v>0</v>
      </c>
      <c r="BH63" s="6">
        <v>0</v>
      </c>
      <c r="BJ63" s="6">
        <v>0</v>
      </c>
      <c r="BL63" s="6">
        <v>0</v>
      </c>
      <c r="BM63" s="6"/>
      <c r="BN63" s="6">
        <f t="shared" si="9"/>
        <v>0</v>
      </c>
      <c r="BO63" s="6"/>
      <c r="BP63" s="6">
        <v>0</v>
      </c>
      <c r="BQ63" s="6"/>
      <c r="BR63" s="6">
        <f t="shared" si="10"/>
        <v>0</v>
      </c>
      <c r="BT63" s="6">
        <f t="shared" si="11"/>
        <v>0</v>
      </c>
      <c r="BV63" s="6">
        <f t="shared" si="12"/>
        <v>0</v>
      </c>
      <c r="BW63" s="6"/>
    </row>
    <row r="64" spans="1:75" hidden="1">
      <c r="A64" s="57"/>
      <c r="B64" s="17" t="s">
        <v>152</v>
      </c>
      <c r="C64"/>
      <c r="D64"/>
      <c r="E64"/>
      <c r="F64"/>
      <c r="G64"/>
      <c r="H64"/>
      <c r="I64"/>
      <c r="J64" s="49" t="s">
        <v>229</v>
      </c>
      <c r="K64"/>
      <c r="L64" s="132" t="s">
        <v>202</v>
      </c>
      <c r="M64" s="6"/>
      <c r="N64" s="6">
        <v>0</v>
      </c>
      <c r="O64" s="6"/>
      <c r="P64" s="6">
        <v>0</v>
      </c>
      <c r="Q64" s="6"/>
      <c r="R64" s="6">
        <f t="shared" si="13"/>
        <v>0</v>
      </c>
      <c r="S64" s="6"/>
      <c r="T64" s="6">
        <v>0</v>
      </c>
      <c r="U64" s="6"/>
      <c r="V64" s="6">
        <v>0</v>
      </c>
      <c r="X64" s="6">
        <v>0</v>
      </c>
      <c r="Z64" s="6">
        <v>0</v>
      </c>
      <c r="AB64" s="6">
        <v>0</v>
      </c>
      <c r="AD64" s="6">
        <v>0</v>
      </c>
      <c r="AF64" s="6">
        <v>0</v>
      </c>
      <c r="AH64" s="6">
        <v>0</v>
      </c>
      <c r="AJ64" s="6">
        <v>0</v>
      </c>
      <c r="AN64" s="6">
        <v>0</v>
      </c>
      <c r="AP64" s="6">
        <v>0</v>
      </c>
      <c r="AR64" s="6">
        <v>0</v>
      </c>
      <c r="AT64" s="6">
        <v>0</v>
      </c>
      <c r="AV64" s="6">
        <v>0</v>
      </c>
      <c r="AX64" s="6">
        <v>0</v>
      </c>
      <c r="AZ64" s="6">
        <v>0</v>
      </c>
      <c r="BB64" s="6">
        <v>0</v>
      </c>
      <c r="BD64" s="6">
        <v>0</v>
      </c>
      <c r="BF64" s="6">
        <v>0</v>
      </c>
      <c r="BH64" s="6">
        <v>0</v>
      </c>
      <c r="BJ64" s="6">
        <v>0</v>
      </c>
      <c r="BL64" s="6">
        <v>0</v>
      </c>
      <c r="BM64" s="6"/>
      <c r="BN64" s="6">
        <f t="shared" si="9"/>
        <v>0</v>
      </c>
      <c r="BO64" s="6"/>
      <c r="BP64" s="6">
        <v>0</v>
      </c>
      <c r="BQ64" s="6"/>
      <c r="BR64" s="6">
        <f t="shared" si="10"/>
        <v>0</v>
      </c>
      <c r="BT64" s="6">
        <f t="shared" si="11"/>
        <v>0</v>
      </c>
      <c r="BV64" s="6">
        <f t="shared" si="12"/>
        <v>0</v>
      </c>
      <c r="BW64" s="6"/>
    </row>
    <row r="65" spans="1:75" hidden="1">
      <c r="A65" s="57"/>
      <c r="B65" s="17" t="s">
        <v>153</v>
      </c>
      <c r="C65"/>
      <c r="D65"/>
      <c r="E65"/>
      <c r="F65"/>
      <c r="G65"/>
      <c r="H65"/>
      <c r="I65"/>
      <c r="J65" s="49" t="s">
        <v>229</v>
      </c>
      <c r="K65"/>
      <c r="L65" s="132" t="s">
        <v>202</v>
      </c>
      <c r="M65" s="6"/>
      <c r="N65" s="6">
        <v>0</v>
      </c>
      <c r="O65" s="6"/>
      <c r="P65" s="6">
        <v>0</v>
      </c>
      <c r="Q65" s="6"/>
      <c r="R65" s="6">
        <f t="shared" si="13"/>
        <v>0</v>
      </c>
      <c r="S65" s="6"/>
      <c r="T65" s="6">
        <v>0</v>
      </c>
      <c r="U65" s="6"/>
      <c r="V65" s="6">
        <v>0</v>
      </c>
      <c r="X65" s="6">
        <v>0</v>
      </c>
      <c r="Z65" s="6">
        <v>0</v>
      </c>
      <c r="AB65" s="6">
        <v>0</v>
      </c>
      <c r="AD65" s="6">
        <v>0</v>
      </c>
      <c r="AF65" s="6">
        <v>0</v>
      </c>
      <c r="AH65" s="6">
        <v>0</v>
      </c>
      <c r="AJ65" s="6">
        <v>0</v>
      </c>
      <c r="AN65" s="6">
        <v>0</v>
      </c>
      <c r="AP65" s="6">
        <v>0</v>
      </c>
      <c r="AR65" s="6">
        <v>0</v>
      </c>
      <c r="AT65" s="6">
        <v>0</v>
      </c>
      <c r="AV65" s="6">
        <v>0</v>
      </c>
      <c r="AX65" s="6">
        <v>0</v>
      </c>
      <c r="AZ65" s="6">
        <v>0</v>
      </c>
      <c r="BB65" s="6">
        <v>0</v>
      </c>
      <c r="BD65" s="6">
        <v>0</v>
      </c>
      <c r="BF65" s="6">
        <v>0</v>
      </c>
      <c r="BH65" s="6">
        <v>0</v>
      </c>
      <c r="BJ65" s="6">
        <v>0</v>
      </c>
      <c r="BL65" s="6">
        <v>0</v>
      </c>
      <c r="BM65" s="6"/>
      <c r="BN65" s="6">
        <f t="shared" si="9"/>
        <v>0</v>
      </c>
      <c r="BO65" s="6"/>
      <c r="BP65" s="6">
        <v>0</v>
      </c>
      <c r="BQ65" s="6"/>
      <c r="BR65" s="6">
        <f t="shared" si="10"/>
        <v>0</v>
      </c>
      <c r="BT65" s="6">
        <f t="shared" si="11"/>
        <v>0</v>
      </c>
      <c r="BV65" s="6">
        <f t="shared" si="12"/>
        <v>0</v>
      </c>
      <c r="BW65" s="6"/>
    </row>
    <row r="66" spans="1:75" hidden="1">
      <c r="A66" s="57"/>
      <c r="B66" s="17" t="s">
        <v>59</v>
      </c>
      <c r="C66"/>
      <c r="D66"/>
      <c r="E66"/>
      <c r="F66"/>
      <c r="G66"/>
      <c r="H66"/>
      <c r="I66"/>
      <c r="J66" s="49" t="s">
        <v>229</v>
      </c>
      <c r="K66"/>
      <c r="L66" s="132" t="s">
        <v>202</v>
      </c>
      <c r="M66" s="6"/>
      <c r="N66" s="6">
        <v>0</v>
      </c>
      <c r="O66" s="6"/>
      <c r="P66" s="6">
        <v>0</v>
      </c>
      <c r="Q66" s="6"/>
      <c r="R66" s="6">
        <f t="shared" si="13"/>
        <v>0</v>
      </c>
      <c r="S66" s="6"/>
      <c r="T66" s="6">
        <v>0</v>
      </c>
      <c r="U66" s="6"/>
      <c r="V66" s="6">
        <v>0</v>
      </c>
      <c r="X66" s="6">
        <v>0</v>
      </c>
      <c r="Z66" s="6">
        <v>0</v>
      </c>
      <c r="AB66" s="6">
        <v>0</v>
      </c>
      <c r="AD66" s="6">
        <v>0</v>
      </c>
      <c r="AF66" s="6">
        <v>0</v>
      </c>
      <c r="AH66" s="6">
        <v>0</v>
      </c>
      <c r="AJ66" s="6">
        <v>0</v>
      </c>
      <c r="AN66" s="6">
        <v>0</v>
      </c>
      <c r="AP66" s="6">
        <v>0</v>
      </c>
      <c r="AR66" s="6">
        <v>0</v>
      </c>
      <c r="AT66" s="6">
        <v>0</v>
      </c>
      <c r="AV66" s="6">
        <v>0</v>
      </c>
      <c r="AX66" s="6">
        <v>0</v>
      </c>
      <c r="AZ66" s="6">
        <v>0</v>
      </c>
      <c r="BB66" s="6">
        <v>0</v>
      </c>
      <c r="BD66" s="6">
        <v>0</v>
      </c>
      <c r="BF66" s="6">
        <v>0</v>
      </c>
      <c r="BH66" s="6">
        <v>0</v>
      </c>
      <c r="BJ66" s="6">
        <v>0</v>
      </c>
      <c r="BL66" s="6">
        <v>0</v>
      </c>
      <c r="BM66" s="6"/>
      <c r="BN66" s="6">
        <f t="shared" si="9"/>
        <v>0</v>
      </c>
      <c r="BO66" s="6"/>
      <c r="BP66" s="6">
        <v>0</v>
      </c>
      <c r="BQ66" s="6"/>
      <c r="BR66" s="6">
        <f t="shared" si="10"/>
        <v>0</v>
      </c>
      <c r="BT66" s="6">
        <f t="shared" si="11"/>
        <v>0</v>
      </c>
      <c r="BV66" s="6">
        <f t="shared" si="12"/>
        <v>0</v>
      </c>
      <c r="BW66" s="6"/>
    </row>
    <row r="67" spans="1:75" hidden="1">
      <c r="A67" s="57"/>
      <c r="B67" s="17" t="s">
        <v>174</v>
      </c>
      <c r="C67"/>
      <c r="D67"/>
      <c r="E67"/>
      <c r="F67"/>
      <c r="G67"/>
      <c r="H67"/>
      <c r="I67"/>
      <c r="J67" s="49" t="s">
        <v>229</v>
      </c>
      <c r="K67"/>
      <c r="L67" s="132" t="s">
        <v>202</v>
      </c>
      <c r="M67" s="6"/>
      <c r="N67" s="6">
        <v>0</v>
      </c>
      <c r="O67" s="6"/>
      <c r="P67" s="6">
        <v>0</v>
      </c>
      <c r="Q67" s="6"/>
      <c r="R67" s="6">
        <f t="shared" si="13"/>
        <v>0</v>
      </c>
      <c r="S67" s="6"/>
      <c r="T67" s="6">
        <v>0</v>
      </c>
      <c r="U67" s="6"/>
      <c r="V67" s="6">
        <v>0</v>
      </c>
      <c r="X67" s="6">
        <v>0</v>
      </c>
      <c r="Z67" s="6">
        <v>0</v>
      </c>
      <c r="AB67" s="6">
        <v>0</v>
      </c>
      <c r="AD67" s="6">
        <v>0</v>
      </c>
      <c r="AF67" s="6">
        <v>0</v>
      </c>
      <c r="AH67" s="6">
        <v>0</v>
      </c>
      <c r="AJ67" s="6">
        <v>0</v>
      </c>
      <c r="AN67" s="6">
        <v>0</v>
      </c>
      <c r="AP67" s="6">
        <v>0</v>
      </c>
      <c r="AR67" s="6">
        <v>0</v>
      </c>
      <c r="AT67" s="6">
        <v>0</v>
      </c>
      <c r="AV67" s="6">
        <v>0</v>
      </c>
      <c r="AX67" s="6">
        <v>0</v>
      </c>
      <c r="AZ67" s="6">
        <v>0</v>
      </c>
      <c r="BB67" s="6">
        <v>0</v>
      </c>
      <c r="BD67" s="6">
        <v>0</v>
      </c>
      <c r="BF67" s="6">
        <v>0</v>
      </c>
      <c r="BH67" s="6">
        <v>0</v>
      </c>
      <c r="BJ67" s="6">
        <v>0</v>
      </c>
      <c r="BL67" s="6">
        <v>0</v>
      </c>
      <c r="BM67" s="6"/>
      <c r="BN67" s="6">
        <f t="shared" si="9"/>
        <v>0</v>
      </c>
      <c r="BO67" s="6"/>
      <c r="BP67" s="6">
        <v>0</v>
      </c>
      <c r="BQ67" s="6"/>
      <c r="BR67" s="6">
        <f t="shared" si="10"/>
        <v>0</v>
      </c>
      <c r="BT67" s="6">
        <f t="shared" si="11"/>
        <v>0</v>
      </c>
      <c r="BV67" s="6">
        <f t="shared" si="12"/>
        <v>0</v>
      </c>
      <c r="BW67" s="6"/>
    </row>
    <row r="68" spans="1:75">
      <c r="A68" s="57"/>
      <c r="B68" s="17" t="s">
        <v>121</v>
      </c>
      <c r="C68"/>
      <c r="D68"/>
      <c r="E68"/>
      <c r="F68"/>
      <c r="G68"/>
      <c r="H68"/>
      <c r="I68"/>
      <c r="J68" s="49" t="s">
        <v>229</v>
      </c>
      <c r="K68"/>
      <c r="L68" s="132" t="s">
        <v>202</v>
      </c>
      <c r="M68" s="6"/>
      <c r="N68" s="6">
        <v>0</v>
      </c>
      <c r="O68" s="6"/>
      <c r="P68" s="6">
        <v>0</v>
      </c>
      <c r="Q68" s="6"/>
      <c r="R68" s="6">
        <f t="shared" si="13"/>
        <v>0</v>
      </c>
      <c r="S68" s="6"/>
      <c r="T68" s="6">
        <v>0</v>
      </c>
      <c r="U68" s="6"/>
      <c r="V68" s="6">
        <v>0</v>
      </c>
      <c r="X68" s="6">
        <v>0</v>
      </c>
      <c r="Z68" s="6">
        <v>0</v>
      </c>
      <c r="AB68" s="6">
        <v>0</v>
      </c>
      <c r="AD68" s="6">
        <v>0</v>
      </c>
      <c r="AF68" s="6">
        <v>0</v>
      </c>
      <c r="AH68" s="6">
        <v>0</v>
      </c>
      <c r="AJ68" s="6">
        <v>0</v>
      </c>
      <c r="AN68" s="6">
        <v>0</v>
      </c>
      <c r="AP68" s="6">
        <v>0</v>
      </c>
      <c r="AR68" s="6">
        <v>0</v>
      </c>
      <c r="AT68" s="6">
        <v>0</v>
      </c>
      <c r="AV68" s="6">
        <v>0</v>
      </c>
      <c r="AX68" s="6">
        <v>0</v>
      </c>
      <c r="AZ68" s="6">
        <v>0</v>
      </c>
      <c r="BB68" s="6">
        <v>0</v>
      </c>
      <c r="BD68" s="6">
        <v>0</v>
      </c>
      <c r="BF68" s="6">
        <v>0</v>
      </c>
      <c r="BH68" s="6">
        <v>0</v>
      </c>
      <c r="BJ68" s="6">
        <v>0</v>
      </c>
      <c r="BL68" s="6">
        <v>0</v>
      </c>
      <c r="BM68" s="6"/>
      <c r="BN68" s="6">
        <f t="shared" si="9"/>
        <v>0</v>
      </c>
      <c r="BO68" s="6"/>
      <c r="BP68" s="6">
        <v>0</v>
      </c>
      <c r="BQ68" s="6"/>
      <c r="BR68" s="6">
        <f t="shared" si="10"/>
        <v>0</v>
      </c>
      <c r="BT68" s="6">
        <f t="shared" si="11"/>
        <v>0</v>
      </c>
      <c r="BV68" s="6">
        <f t="shared" si="12"/>
        <v>0</v>
      </c>
      <c r="BW68" s="6"/>
    </row>
    <row r="69" spans="1:75" s="11" customFormat="1">
      <c r="A69" s="100"/>
      <c r="B69" s="17"/>
      <c r="C69" s="30"/>
      <c r="D69" s="30"/>
      <c r="E69" s="30"/>
      <c r="F69" s="30"/>
      <c r="G69" s="30"/>
      <c r="H69" s="30"/>
      <c r="I69" s="30"/>
      <c r="J69" s="153"/>
      <c r="K69" s="30"/>
      <c r="L69" s="139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6">
        <f t="shared" si="10"/>
        <v>0</v>
      </c>
      <c r="BS69" s="12"/>
      <c r="BT69" s="6">
        <f t="shared" si="11"/>
        <v>0</v>
      </c>
      <c r="BU69" s="12"/>
      <c r="BV69" s="6">
        <f t="shared" si="12"/>
        <v>0</v>
      </c>
      <c r="BW69" s="12"/>
    </row>
    <row r="70" spans="1:75" s="21" customFormat="1">
      <c r="A70" s="107"/>
      <c r="B70" s="77" t="s">
        <v>243</v>
      </c>
      <c r="J70" s="8"/>
      <c r="L70" s="141"/>
      <c r="M70" s="9"/>
      <c r="N70" s="108">
        <f>SUM(N41:N69)</f>
        <v>0</v>
      </c>
      <c r="O70" s="16"/>
      <c r="P70" s="108">
        <f>SUM(P41:P69)</f>
        <v>0</v>
      </c>
      <c r="Q70" s="16"/>
      <c r="R70" s="108">
        <f>SUM(R41:R69)</f>
        <v>0</v>
      </c>
      <c r="S70" s="9"/>
      <c r="T70" s="108">
        <f>SUM(T41:T69)</f>
        <v>0</v>
      </c>
      <c r="U70" s="9"/>
      <c r="V70" s="108">
        <f>SUM(V41:V69)</f>
        <v>0</v>
      </c>
      <c r="W70" s="9"/>
      <c r="X70" s="108">
        <f>SUM(X41:X69)</f>
        <v>0</v>
      </c>
      <c r="Y70" s="9"/>
      <c r="Z70" s="108">
        <f>SUM(Z41:Z69)</f>
        <v>0</v>
      </c>
      <c r="AA70" s="9"/>
      <c r="AB70" s="108">
        <f>SUM(AB41:AB69)</f>
        <v>0</v>
      </c>
      <c r="AC70" s="9"/>
      <c r="AD70" s="108">
        <f>SUM(AD41:AD69)</f>
        <v>0</v>
      </c>
      <c r="AE70" s="9"/>
      <c r="AF70" s="108">
        <f>SUM(AF41:AF69)</f>
        <v>0</v>
      </c>
      <c r="AG70" s="9"/>
      <c r="AH70" s="108">
        <f>SUM(AH41:AH69)</f>
        <v>0</v>
      </c>
      <c r="AI70" s="9"/>
      <c r="AJ70" s="108">
        <f>SUM(AJ41:AJ69)</f>
        <v>0</v>
      </c>
      <c r="AK70" s="9"/>
      <c r="AL70" s="108">
        <f>SUM(AL41:AL69)</f>
        <v>0</v>
      </c>
      <c r="AM70" s="108"/>
      <c r="AN70" s="108">
        <f>SUM(AN41:AN69)</f>
        <v>0</v>
      </c>
      <c r="AO70" s="9"/>
      <c r="AP70" s="108">
        <f>SUM(AP41:AP69)</f>
        <v>0</v>
      </c>
      <c r="AQ70" s="9"/>
      <c r="AR70" s="108">
        <f>SUM(AR41:AR69)</f>
        <v>0</v>
      </c>
      <c r="AS70" s="9"/>
      <c r="AT70" s="108">
        <f>SUM(AT41:AT69)</f>
        <v>0</v>
      </c>
      <c r="AU70" s="9"/>
      <c r="AV70" s="108">
        <f>SUM(AV41:AV69)</f>
        <v>0</v>
      </c>
      <c r="AW70" s="103"/>
      <c r="AX70" s="108">
        <f>SUM(AX41:AX69)</f>
        <v>0</v>
      </c>
      <c r="AY70" s="103"/>
      <c r="AZ70" s="108">
        <f>SUM(AZ41:AZ69)</f>
        <v>0</v>
      </c>
      <c r="BA70" s="103"/>
      <c r="BB70" s="108">
        <f>SUM(BB41:BB69)</f>
        <v>0</v>
      </c>
      <c r="BC70" s="103"/>
      <c r="BD70" s="108">
        <f>SUM(BD41:BD69)</f>
        <v>0</v>
      </c>
      <c r="BE70" s="103"/>
      <c r="BF70" s="108">
        <f>SUM(BF41:BF69)</f>
        <v>0</v>
      </c>
      <c r="BG70" s="103"/>
      <c r="BH70" s="108">
        <f>SUM(BH41:BH69)</f>
        <v>0</v>
      </c>
      <c r="BI70" s="103"/>
      <c r="BJ70" s="108">
        <f>SUM(BJ41:BJ69)</f>
        <v>0</v>
      </c>
      <c r="BK70" s="103"/>
      <c r="BL70" s="108">
        <f>SUM(BL41:BL69)</f>
        <v>0</v>
      </c>
      <c r="BM70" s="9"/>
      <c r="BN70" s="108">
        <f>SUM(BN41:BN69)</f>
        <v>0</v>
      </c>
      <c r="BO70" s="9"/>
      <c r="BP70" s="108">
        <f>SUM(BP41:BP69)</f>
        <v>0</v>
      </c>
      <c r="BQ70" s="9"/>
      <c r="BR70" s="108">
        <f>SUM(BR41:BR69)</f>
        <v>0</v>
      </c>
      <c r="BS70" s="9"/>
      <c r="BT70" s="108">
        <f>SUM(BT41:BT69)</f>
        <v>0</v>
      </c>
      <c r="BU70" s="9"/>
      <c r="BV70" s="108">
        <f>SUM(BV41:BV69)</f>
        <v>0</v>
      </c>
      <c r="BW70" s="9"/>
    </row>
    <row r="71" spans="1:75">
      <c r="A71" s="57"/>
      <c r="B71" s="17"/>
      <c r="C71"/>
      <c r="D71"/>
      <c r="E71"/>
      <c r="F71"/>
      <c r="G71"/>
      <c r="H71"/>
      <c r="I71"/>
      <c r="J71" s="49"/>
      <c r="K71"/>
      <c r="L71" s="132"/>
      <c r="M71" s="6"/>
      <c r="O71" s="6"/>
      <c r="Q71" s="6"/>
      <c r="S71" s="6"/>
      <c r="T71" s="6"/>
      <c r="U71" s="6"/>
      <c r="V71" s="6"/>
      <c r="X71" s="6"/>
      <c r="Z71" s="6"/>
      <c r="AB71" s="6"/>
      <c r="AD71" s="6"/>
      <c r="BL71" s="6"/>
      <c r="BM71" s="6"/>
      <c r="BO71" s="6"/>
      <c r="BP71" s="6"/>
      <c r="BQ71" s="6"/>
      <c r="BW71" s="6"/>
    </row>
    <row r="72" spans="1:75">
      <c r="A72" s="56" t="s">
        <v>227</v>
      </c>
      <c r="B72" s="11"/>
      <c r="C72"/>
      <c r="D72"/>
      <c r="E72"/>
      <c r="F72"/>
      <c r="G72"/>
      <c r="H72"/>
      <c r="I72"/>
      <c r="J72" s="49"/>
      <c r="K72"/>
      <c r="L72" s="132"/>
      <c r="M72" s="6"/>
      <c r="O72" s="6"/>
      <c r="Q72" s="6"/>
      <c r="S72" s="6"/>
      <c r="T72" s="6"/>
      <c r="U72" s="6"/>
      <c r="V72" s="6"/>
      <c r="X72" s="6"/>
      <c r="Z72" s="6"/>
      <c r="AB72" s="6"/>
      <c r="AD72" s="6"/>
      <c r="BL72" s="6"/>
      <c r="BM72" s="6"/>
      <c r="BO72" s="6"/>
      <c r="BP72" s="6"/>
      <c r="BQ72" s="6"/>
      <c r="BW72" s="6"/>
    </row>
    <row r="73" spans="1:75">
      <c r="A73" s="61"/>
      <c r="B73" s="17" t="s">
        <v>228</v>
      </c>
      <c r="C73"/>
      <c r="D73"/>
      <c r="E73"/>
      <c r="F73"/>
      <c r="G73"/>
      <c r="H73"/>
      <c r="I73"/>
      <c r="J73" s="49" t="s">
        <v>236</v>
      </c>
      <c r="K73"/>
      <c r="L73" s="132" t="s">
        <v>202</v>
      </c>
      <c r="M73" s="6"/>
      <c r="N73" s="6">
        <v>0</v>
      </c>
      <c r="O73" s="6"/>
      <c r="P73" s="6">
        <v>0</v>
      </c>
      <c r="Q73" s="6"/>
      <c r="R73" s="6">
        <v>0</v>
      </c>
      <c r="S73" s="6"/>
      <c r="T73" s="6">
        <v>0</v>
      </c>
      <c r="U73" s="22"/>
      <c r="V73" s="6">
        <v>0</v>
      </c>
      <c r="W73" s="22"/>
      <c r="X73" s="6">
        <v>0</v>
      </c>
      <c r="Y73" s="22"/>
      <c r="Z73" s="6">
        <v>0</v>
      </c>
      <c r="AA73" s="22"/>
      <c r="AB73" s="6">
        <v>0</v>
      </c>
      <c r="AC73" s="22"/>
      <c r="AD73" s="6">
        <v>0</v>
      </c>
      <c r="AE73" s="22"/>
      <c r="AF73" s="6">
        <v>0</v>
      </c>
      <c r="AG73" s="22"/>
      <c r="AH73" s="6">
        <f>929800/12</f>
        <v>77483.333333333328</v>
      </c>
      <c r="AI73" s="22"/>
      <c r="AJ73" s="6">
        <v>77483.33</v>
      </c>
      <c r="AK73" s="22"/>
      <c r="AL73" s="6">
        <v>-232450</v>
      </c>
      <c r="AM73" s="22"/>
      <c r="AN73" s="6">
        <v>77483.34</v>
      </c>
      <c r="AO73" s="22"/>
      <c r="AP73" s="6">
        <v>0</v>
      </c>
      <c r="AQ73" s="22"/>
      <c r="AR73" s="6">
        <v>0</v>
      </c>
      <c r="AS73" s="22"/>
      <c r="AT73" s="6">
        <v>0</v>
      </c>
      <c r="AU73" s="22"/>
      <c r="AV73" s="6">
        <v>0</v>
      </c>
      <c r="AX73" s="6">
        <v>0</v>
      </c>
      <c r="AZ73" s="6">
        <v>0</v>
      </c>
      <c r="BB73" s="6">
        <v>0</v>
      </c>
      <c r="BF73" s="6">
        <v>0</v>
      </c>
      <c r="BH73" s="6">
        <v>0</v>
      </c>
      <c r="BJ73" s="6">
        <v>0</v>
      </c>
      <c r="BL73" s="6">
        <v>0</v>
      </c>
      <c r="BM73" s="6"/>
      <c r="BN73" s="6">
        <f t="shared" ref="BN73:BN78" si="14">SUM(T73:BM73)</f>
        <v>3.3333333267364651E-3</v>
      </c>
      <c r="BO73" s="6"/>
      <c r="BP73" s="6">
        <v>0</v>
      </c>
      <c r="BQ73" s="6"/>
      <c r="BR73" s="6">
        <f t="shared" ref="BR73:BR79" si="15">IF(+R73-BN73+BP73&gt;0,R73-BN73+BP73,0)</f>
        <v>0</v>
      </c>
      <c r="BT73" s="6">
        <f t="shared" ref="BT73:BT78" si="16">+BN73+BR73</f>
        <v>3.3333333267364651E-3</v>
      </c>
      <c r="BV73" s="6">
        <f t="shared" ref="BV73:BV78" si="17">+R73-BT73</f>
        <v>-3.3333333267364651E-3</v>
      </c>
      <c r="BW73" s="6"/>
    </row>
    <row r="74" spans="1:75">
      <c r="A74" s="61"/>
      <c r="B74" s="17" t="s">
        <v>230</v>
      </c>
      <c r="C74"/>
      <c r="D74"/>
      <c r="E74"/>
      <c r="F74"/>
      <c r="G74"/>
      <c r="H74"/>
      <c r="I74"/>
      <c r="J74" s="49" t="s">
        <v>230</v>
      </c>
      <c r="K74"/>
      <c r="L74" s="132" t="s">
        <v>202</v>
      </c>
      <c r="M74" s="6"/>
      <c r="N74" s="6">
        <v>0</v>
      </c>
      <c r="O74" s="6"/>
      <c r="P74" s="6">
        <v>0</v>
      </c>
      <c r="Q74" s="6"/>
      <c r="R74" s="6">
        <v>0</v>
      </c>
      <c r="S74" s="6"/>
      <c r="T74" s="6">
        <v>0</v>
      </c>
      <c r="U74" s="22"/>
      <c r="V74" s="6">
        <v>0</v>
      </c>
      <c r="W74" s="22"/>
      <c r="X74" s="6">
        <v>0</v>
      </c>
      <c r="Y74" s="22"/>
      <c r="Z74" s="6">
        <v>0</v>
      </c>
      <c r="AA74" s="22"/>
      <c r="AB74" s="6">
        <v>0</v>
      </c>
      <c r="AC74" s="22"/>
      <c r="AD74" s="6">
        <v>0</v>
      </c>
      <c r="AE74" s="22"/>
      <c r="AF74" s="6">
        <v>0</v>
      </c>
      <c r="AG74" s="22"/>
      <c r="AH74" s="6">
        <f>2840700/12</f>
        <v>236725</v>
      </c>
      <c r="AI74" s="22"/>
      <c r="AJ74" s="6">
        <v>236725</v>
      </c>
      <c r="AK74" s="22"/>
      <c r="AL74" s="6">
        <v>-710172</v>
      </c>
      <c r="AM74" s="22"/>
      <c r="AN74" s="6">
        <v>236722.33</v>
      </c>
      <c r="AO74" s="22"/>
      <c r="AP74" s="6">
        <v>0</v>
      </c>
      <c r="AQ74" s="22"/>
      <c r="AR74" s="6">
        <v>0</v>
      </c>
      <c r="AS74" s="22"/>
      <c r="AT74" s="6">
        <v>0</v>
      </c>
      <c r="AU74" s="22"/>
      <c r="AV74" s="6">
        <v>0</v>
      </c>
      <c r="AX74" s="6">
        <v>0</v>
      </c>
      <c r="AZ74" s="6">
        <v>0</v>
      </c>
      <c r="BB74" s="6">
        <v>0</v>
      </c>
      <c r="BF74" s="6">
        <v>0</v>
      </c>
      <c r="BH74" s="6">
        <v>0</v>
      </c>
      <c r="BJ74" s="6">
        <v>0</v>
      </c>
      <c r="BL74" s="6">
        <v>0</v>
      </c>
      <c r="BM74" s="6"/>
      <c r="BN74" s="6">
        <f t="shared" si="14"/>
        <v>0.32999999998719431</v>
      </c>
      <c r="BO74" s="6"/>
      <c r="BP74" s="6">
        <v>0</v>
      </c>
      <c r="BQ74" s="6"/>
      <c r="BR74" s="6">
        <f t="shared" si="15"/>
        <v>0</v>
      </c>
      <c r="BT74" s="6">
        <f t="shared" si="16"/>
        <v>0.32999999998719431</v>
      </c>
      <c r="BV74" s="6">
        <f t="shared" si="17"/>
        <v>-0.32999999998719431</v>
      </c>
      <c r="BW74" s="6"/>
    </row>
    <row r="75" spans="1:75">
      <c r="A75" s="61"/>
      <c r="B75" s="17" t="s">
        <v>231</v>
      </c>
      <c r="C75"/>
      <c r="D75"/>
      <c r="E75"/>
      <c r="F75"/>
      <c r="G75"/>
      <c r="H75"/>
      <c r="I75"/>
      <c r="J75" s="49" t="s">
        <v>236</v>
      </c>
      <c r="K75"/>
      <c r="L75" s="132" t="s">
        <v>202</v>
      </c>
      <c r="M75" s="6"/>
      <c r="N75" s="6">
        <v>0</v>
      </c>
      <c r="O75" s="6"/>
      <c r="P75" s="6">
        <v>0</v>
      </c>
      <c r="Q75" s="6"/>
      <c r="R75" s="6">
        <v>0</v>
      </c>
      <c r="S75" s="6"/>
      <c r="T75" s="6">
        <v>0</v>
      </c>
      <c r="U75" s="22"/>
      <c r="V75" s="6">
        <v>0</v>
      </c>
      <c r="W75" s="22"/>
      <c r="X75" s="6">
        <v>0</v>
      </c>
      <c r="Y75" s="22"/>
      <c r="Z75" s="6">
        <v>0</v>
      </c>
      <c r="AA75" s="22"/>
      <c r="AB75" s="6">
        <v>0</v>
      </c>
      <c r="AC75" s="22"/>
      <c r="AD75" s="6">
        <v>0</v>
      </c>
      <c r="AE75" s="22"/>
      <c r="AF75" s="6">
        <v>0</v>
      </c>
      <c r="AG75" s="22"/>
      <c r="AH75" s="6">
        <v>0</v>
      </c>
      <c r="AI75" s="22"/>
      <c r="AJ75" s="6">
        <v>0</v>
      </c>
      <c r="AK75" s="22"/>
      <c r="AM75" s="22"/>
      <c r="AN75" s="6">
        <v>0</v>
      </c>
      <c r="AO75" s="22"/>
      <c r="AP75" s="6">
        <v>0</v>
      </c>
      <c r="AQ75" s="22"/>
      <c r="AR75" s="6">
        <v>0</v>
      </c>
      <c r="AS75" s="22"/>
      <c r="AT75" s="6">
        <v>0</v>
      </c>
      <c r="AU75" s="22"/>
      <c r="AV75" s="6">
        <v>0</v>
      </c>
      <c r="AX75" s="6">
        <v>0</v>
      </c>
      <c r="AZ75" s="6">
        <v>0</v>
      </c>
      <c r="BB75" s="6">
        <v>0</v>
      </c>
      <c r="BD75" s="6">
        <v>0</v>
      </c>
      <c r="BF75" s="6">
        <v>0</v>
      </c>
      <c r="BH75" s="6">
        <v>0</v>
      </c>
      <c r="BJ75" s="6">
        <v>0</v>
      </c>
      <c r="BL75" s="6">
        <v>0</v>
      </c>
      <c r="BM75" s="6"/>
      <c r="BN75" s="6">
        <f t="shared" si="14"/>
        <v>0</v>
      </c>
      <c r="BO75" s="6"/>
      <c r="BP75" s="6">
        <v>0</v>
      </c>
      <c r="BQ75" s="6"/>
      <c r="BR75" s="6">
        <f t="shared" si="15"/>
        <v>0</v>
      </c>
      <c r="BT75" s="6">
        <f t="shared" si="16"/>
        <v>0</v>
      </c>
      <c r="BV75" s="6">
        <f t="shared" si="17"/>
        <v>0</v>
      </c>
      <c r="BW75" s="6"/>
    </row>
    <row r="76" spans="1:75">
      <c r="A76" s="61"/>
      <c r="B76" s="17" t="s">
        <v>232</v>
      </c>
      <c r="C76"/>
      <c r="D76"/>
      <c r="E76"/>
      <c r="F76"/>
      <c r="G76"/>
      <c r="H76"/>
      <c r="I76"/>
      <c r="J76" s="49" t="s">
        <v>236</v>
      </c>
      <c r="K76"/>
      <c r="L76" s="132" t="s">
        <v>202</v>
      </c>
      <c r="M76" s="6"/>
      <c r="N76" s="12">
        <v>0</v>
      </c>
      <c r="O76" s="12"/>
      <c r="P76" s="12">
        <v>0</v>
      </c>
      <c r="Q76" s="12"/>
      <c r="R76" s="6">
        <f>+N76+P76</f>
        <v>0</v>
      </c>
      <c r="S76" s="12"/>
      <c r="T76" s="12">
        <v>0</v>
      </c>
      <c r="U76" s="80"/>
      <c r="V76" s="12">
        <v>0</v>
      </c>
      <c r="W76" s="80"/>
      <c r="X76" s="12">
        <v>0</v>
      </c>
      <c r="Y76" s="80"/>
      <c r="Z76" s="12">
        <v>0</v>
      </c>
      <c r="AA76" s="80"/>
      <c r="AB76" s="12">
        <v>0</v>
      </c>
      <c r="AC76" s="80"/>
      <c r="AD76" s="12">
        <v>0</v>
      </c>
      <c r="AE76" s="80"/>
      <c r="AF76" s="12">
        <v>0</v>
      </c>
      <c r="AG76" s="80"/>
      <c r="AH76" s="12">
        <v>0</v>
      </c>
      <c r="AI76" s="80"/>
      <c r="AJ76" s="12">
        <v>0</v>
      </c>
      <c r="AK76" s="80"/>
      <c r="AL76" s="12"/>
      <c r="AM76" s="80"/>
      <c r="AN76" s="12">
        <v>0</v>
      </c>
      <c r="AO76" s="80"/>
      <c r="AP76" s="12">
        <v>0</v>
      </c>
      <c r="AQ76" s="80"/>
      <c r="AR76" s="12">
        <v>0</v>
      </c>
      <c r="AS76" s="80"/>
      <c r="AT76" s="12">
        <v>0</v>
      </c>
      <c r="AU76" s="80"/>
      <c r="AV76" s="12">
        <v>0</v>
      </c>
      <c r="AW76" s="12"/>
      <c r="AX76" s="12">
        <v>0</v>
      </c>
      <c r="AY76" s="12"/>
      <c r="AZ76" s="12">
        <v>0</v>
      </c>
      <c r="BA76" s="12"/>
      <c r="BB76" s="12">
        <v>0</v>
      </c>
      <c r="BC76" s="12"/>
      <c r="BD76" s="12">
        <v>0</v>
      </c>
      <c r="BE76" s="12"/>
      <c r="BF76" s="12">
        <v>0</v>
      </c>
      <c r="BG76" s="12"/>
      <c r="BH76" s="12">
        <v>0</v>
      </c>
      <c r="BI76" s="12"/>
      <c r="BJ76" s="12">
        <v>0</v>
      </c>
      <c r="BK76" s="12"/>
      <c r="BL76" s="12">
        <v>0</v>
      </c>
      <c r="BM76" s="12"/>
      <c r="BN76" s="12">
        <f t="shared" si="14"/>
        <v>0</v>
      </c>
      <c r="BO76" s="6"/>
      <c r="BP76" s="12">
        <v>0</v>
      </c>
      <c r="BQ76" s="6"/>
      <c r="BR76" s="6">
        <f t="shared" si="15"/>
        <v>0</v>
      </c>
      <c r="BS76" s="12"/>
      <c r="BT76" s="6">
        <f t="shared" si="16"/>
        <v>0</v>
      </c>
      <c r="BU76" s="12"/>
      <c r="BV76" s="6">
        <f t="shared" si="17"/>
        <v>0</v>
      </c>
      <c r="BW76" s="12"/>
    </row>
    <row r="77" spans="1:75" s="11" customFormat="1">
      <c r="A77" s="17"/>
      <c r="B77" s="17" t="s">
        <v>233</v>
      </c>
      <c r="C77" s="30"/>
      <c r="D77" s="30"/>
      <c r="E77" s="30"/>
      <c r="F77" s="30"/>
      <c r="G77" s="30"/>
      <c r="H77" s="30"/>
      <c r="I77" s="30"/>
      <c r="J77" s="153" t="s">
        <v>236</v>
      </c>
      <c r="K77" s="30"/>
      <c r="L77" s="132" t="s">
        <v>202</v>
      </c>
      <c r="M77" s="12"/>
      <c r="N77" s="12">
        <v>0</v>
      </c>
      <c r="O77" s="12"/>
      <c r="P77" s="12">
        <v>0</v>
      </c>
      <c r="Q77" s="12"/>
      <c r="R77" s="6">
        <f>+N77+P77</f>
        <v>0</v>
      </c>
      <c r="S77" s="12"/>
      <c r="T77" s="12">
        <v>0</v>
      </c>
      <c r="U77" s="80"/>
      <c r="V77" s="12">
        <v>0</v>
      </c>
      <c r="W77" s="80"/>
      <c r="X77" s="12">
        <v>0</v>
      </c>
      <c r="Y77" s="80"/>
      <c r="Z77" s="12">
        <v>0</v>
      </c>
      <c r="AA77" s="80"/>
      <c r="AB77" s="12">
        <v>0</v>
      </c>
      <c r="AC77" s="80"/>
      <c r="AD77" s="12">
        <v>0</v>
      </c>
      <c r="AE77" s="80"/>
      <c r="AF77" s="12">
        <v>0</v>
      </c>
      <c r="AG77" s="80"/>
      <c r="AH77" s="12">
        <v>0</v>
      </c>
      <c r="AI77" s="80"/>
      <c r="AJ77" s="12">
        <v>0</v>
      </c>
      <c r="AK77" s="80"/>
      <c r="AL77" s="12"/>
      <c r="AM77" s="80"/>
      <c r="AN77" s="12">
        <v>0</v>
      </c>
      <c r="AO77" s="80"/>
      <c r="AP77" s="12">
        <v>0</v>
      </c>
      <c r="AQ77" s="80"/>
      <c r="AR77" s="12">
        <v>0</v>
      </c>
      <c r="AS77" s="80"/>
      <c r="AT77" s="12">
        <v>0</v>
      </c>
      <c r="AU77" s="80"/>
      <c r="AV77" s="12">
        <v>0</v>
      </c>
      <c r="AW77" s="12"/>
      <c r="AX77" s="12">
        <v>0</v>
      </c>
      <c r="AY77" s="12"/>
      <c r="AZ77" s="12">
        <v>0</v>
      </c>
      <c r="BA77" s="12"/>
      <c r="BB77" s="12">
        <v>0</v>
      </c>
      <c r="BC77" s="12"/>
      <c r="BD77" s="12">
        <v>0</v>
      </c>
      <c r="BE77" s="12"/>
      <c r="BF77" s="12">
        <v>0</v>
      </c>
      <c r="BG77" s="12"/>
      <c r="BH77" s="12">
        <v>0</v>
      </c>
      <c r="BI77" s="12"/>
      <c r="BJ77" s="12">
        <v>0</v>
      </c>
      <c r="BK77" s="12"/>
      <c r="BL77" s="12">
        <v>0</v>
      </c>
      <c r="BM77" s="12"/>
      <c r="BN77" s="12">
        <f t="shared" si="14"/>
        <v>0</v>
      </c>
      <c r="BO77" s="12"/>
      <c r="BP77" s="12">
        <v>0</v>
      </c>
      <c r="BQ77" s="12"/>
      <c r="BR77" s="6">
        <f t="shared" si="15"/>
        <v>0</v>
      </c>
      <c r="BS77" s="12"/>
      <c r="BT77" s="6">
        <f t="shared" si="16"/>
        <v>0</v>
      </c>
      <c r="BU77" s="12"/>
      <c r="BV77" s="6">
        <f t="shared" si="17"/>
        <v>0</v>
      </c>
      <c r="BW77" s="12"/>
    </row>
    <row r="78" spans="1:75">
      <c r="A78" s="61"/>
      <c r="B78" s="17" t="s">
        <v>337</v>
      </c>
      <c r="C78"/>
      <c r="D78"/>
      <c r="E78"/>
      <c r="F78"/>
      <c r="G78"/>
      <c r="H78"/>
      <c r="I78"/>
      <c r="J78" s="49"/>
      <c r="K78"/>
      <c r="L78" s="132" t="s">
        <v>202</v>
      </c>
      <c r="M78" s="6"/>
      <c r="N78" s="12">
        <v>0</v>
      </c>
      <c r="O78" s="12"/>
      <c r="P78" s="12">
        <v>0</v>
      </c>
      <c r="Q78" s="12"/>
      <c r="R78" s="6">
        <f>+N78+P78</f>
        <v>0</v>
      </c>
      <c r="S78" s="12"/>
      <c r="T78" s="12">
        <v>0</v>
      </c>
      <c r="U78" s="80"/>
      <c r="V78" s="12">
        <v>0</v>
      </c>
      <c r="W78" s="80"/>
      <c r="X78" s="12">
        <v>0</v>
      </c>
      <c r="Y78" s="80"/>
      <c r="Z78" s="12">
        <v>0</v>
      </c>
      <c r="AA78" s="80"/>
      <c r="AB78" s="12">
        <v>0</v>
      </c>
      <c r="AC78" s="80"/>
      <c r="AD78" s="12">
        <v>0</v>
      </c>
      <c r="AE78" s="80"/>
      <c r="AF78" s="12">
        <v>0</v>
      </c>
      <c r="AG78" s="80"/>
      <c r="AH78" s="12">
        <v>0</v>
      </c>
      <c r="AI78" s="80"/>
      <c r="AJ78" s="12">
        <v>0</v>
      </c>
      <c r="AK78" s="80"/>
      <c r="AL78" s="12"/>
      <c r="AM78" s="80"/>
      <c r="AN78" s="12">
        <v>0</v>
      </c>
      <c r="AO78" s="80"/>
      <c r="AP78" s="12">
        <v>0</v>
      </c>
      <c r="AQ78" s="80"/>
      <c r="AR78" s="12">
        <v>0</v>
      </c>
      <c r="AS78" s="80"/>
      <c r="AT78" s="12">
        <v>250000</v>
      </c>
      <c r="AU78" s="80"/>
      <c r="AV78" s="12">
        <v>0</v>
      </c>
      <c r="AW78" s="12"/>
      <c r="AX78" s="12">
        <v>0</v>
      </c>
      <c r="AY78" s="12"/>
      <c r="AZ78" s="12">
        <v>0</v>
      </c>
      <c r="BA78" s="12"/>
      <c r="BB78" s="12">
        <v>0</v>
      </c>
      <c r="BC78" s="12"/>
      <c r="BD78" s="12">
        <v>0</v>
      </c>
      <c r="BE78" s="12"/>
      <c r="BF78" s="12">
        <v>0</v>
      </c>
      <c r="BG78" s="12"/>
      <c r="BH78" s="12">
        <v>0</v>
      </c>
      <c r="BI78" s="12"/>
      <c r="BJ78" s="12">
        <v>0</v>
      </c>
      <c r="BK78" s="12"/>
      <c r="BL78" s="12">
        <v>0</v>
      </c>
      <c r="BM78" s="12"/>
      <c r="BN78" s="12">
        <f t="shared" si="14"/>
        <v>250000</v>
      </c>
      <c r="BO78" s="6"/>
      <c r="BP78" s="12">
        <v>0</v>
      </c>
      <c r="BQ78" s="6"/>
      <c r="BR78" s="6">
        <f t="shared" si="15"/>
        <v>0</v>
      </c>
      <c r="BS78" s="12"/>
      <c r="BT78" s="6">
        <f t="shared" si="16"/>
        <v>250000</v>
      </c>
      <c r="BU78" s="12"/>
      <c r="BV78" s="6">
        <f t="shared" si="17"/>
        <v>-250000</v>
      </c>
      <c r="BW78" s="12"/>
    </row>
    <row r="79" spans="1:75">
      <c r="A79" s="61"/>
      <c r="B79" s="17"/>
      <c r="C79"/>
      <c r="D79"/>
      <c r="E79"/>
      <c r="F79"/>
      <c r="G79"/>
      <c r="H79"/>
      <c r="I79"/>
      <c r="J79" s="49"/>
      <c r="K79"/>
      <c r="L79" s="132"/>
      <c r="M79" s="6"/>
      <c r="N79" s="12"/>
      <c r="O79" s="12"/>
      <c r="P79" s="12"/>
      <c r="Q79" s="12"/>
      <c r="R79" s="12"/>
      <c r="S79" s="12"/>
      <c r="T79" s="12"/>
      <c r="U79" s="80"/>
      <c r="V79" s="12"/>
      <c r="W79" s="80"/>
      <c r="X79" s="12"/>
      <c r="Y79" s="80"/>
      <c r="Z79" s="12"/>
      <c r="AA79" s="80"/>
      <c r="AB79" s="12"/>
      <c r="AC79" s="80"/>
      <c r="AD79" s="12"/>
      <c r="AE79" s="80"/>
      <c r="AF79" s="12"/>
      <c r="AG79" s="80"/>
      <c r="AH79" s="12"/>
      <c r="AI79" s="80"/>
      <c r="AJ79" s="12"/>
      <c r="AK79" s="80"/>
      <c r="AL79" s="12"/>
      <c r="AM79" s="80"/>
      <c r="AN79" s="12"/>
      <c r="AO79" s="80"/>
      <c r="AP79" s="12"/>
      <c r="AQ79" s="80"/>
      <c r="AR79" s="12"/>
      <c r="AS79" s="80"/>
      <c r="AT79" s="12"/>
      <c r="AU79" s="80"/>
      <c r="AV79" s="12"/>
      <c r="AW79" s="12"/>
      <c r="AX79" s="12"/>
      <c r="AY79" s="12"/>
      <c r="AZ79" s="12"/>
      <c r="BA79" s="12"/>
      <c r="BB79" s="12"/>
      <c r="BC79" s="12"/>
      <c r="BD79" s="12"/>
      <c r="BE79" s="12"/>
      <c r="BF79" s="12"/>
      <c r="BG79" s="12"/>
      <c r="BH79" s="12"/>
      <c r="BI79" s="12"/>
      <c r="BJ79" s="12"/>
      <c r="BK79" s="12"/>
      <c r="BL79" s="12"/>
      <c r="BM79" s="12"/>
      <c r="BN79" s="12"/>
      <c r="BO79" s="6"/>
      <c r="BP79" s="12"/>
      <c r="BQ79" s="6"/>
      <c r="BR79" s="6">
        <f t="shared" si="15"/>
        <v>0</v>
      </c>
      <c r="BS79" s="12"/>
      <c r="BT79" s="12"/>
      <c r="BU79" s="12"/>
      <c r="BV79" s="12"/>
      <c r="BW79" s="12"/>
    </row>
    <row r="80" spans="1:75" s="114" customFormat="1">
      <c r="A80" s="112"/>
      <c r="B80" s="113" t="s">
        <v>244</v>
      </c>
      <c r="J80" s="154"/>
      <c r="L80" s="140"/>
      <c r="M80" s="115"/>
      <c r="N80" s="116">
        <f>SUM(N73:N79)</f>
        <v>0</v>
      </c>
      <c r="O80" s="115"/>
      <c r="P80" s="116">
        <f>SUM(P73:P79)</f>
        <v>0</v>
      </c>
      <c r="Q80" s="115"/>
      <c r="R80" s="116">
        <f>SUM(R73:R79)</f>
        <v>0</v>
      </c>
      <c r="S80" s="115"/>
      <c r="T80" s="116">
        <f>SUM(T73:T79)</f>
        <v>0</v>
      </c>
      <c r="U80" s="115"/>
      <c r="V80" s="116">
        <f>SUM(V73:V79)</f>
        <v>0</v>
      </c>
      <c r="W80" s="115"/>
      <c r="X80" s="116">
        <f>SUM(X73:X79)</f>
        <v>0</v>
      </c>
      <c r="Y80" s="115"/>
      <c r="Z80" s="116">
        <f>SUM(Z73:Z79)</f>
        <v>0</v>
      </c>
      <c r="AA80" s="115"/>
      <c r="AB80" s="116">
        <f>SUM(AB73:AB79)</f>
        <v>0</v>
      </c>
      <c r="AC80" s="115"/>
      <c r="AD80" s="116">
        <f>SUM(AD73:AD79)</f>
        <v>0</v>
      </c>
      <c r="AE80" s="115"/>
      <c r="AF80" s="116">
        <f>SUM(AF73:AF79)</f>
        <v>0</v>
      </c>
      <c r="AG80" s="115"/>
      <c r="AH80" s="116">
        <f>SUM(AH73:AH79)</f>
        <v>314208.33333333331</v>
      </c>
      <c r="AI80" s="115"/>
      <c r="AJ80" s="116">
        <f>SUM(AJ73:AJ79)</f>
        <v>314208.33</v>
      </c>
      <c r="AK80" s="115"/>
      <c r="AL80" s="116">
        <f>SUM(AL73:AL79)</f>
        <v>-942622</v>
      </c>
      <c r="AM80" s="116"/>
      <c r="AN80" s="116">
        <f>SUM(AN73:AN79)</f>
        <v>314205.67</v>
      </c>
      <c r="AO80" s="115"/>
      <c r="AP80" s="116">
        <f>SUM(AP73:AP79)</f>
        <v>0</v>
      </c>
      <c r="AQ80" s="115"/>
      <c r="AR80" s="116">
        <f>SUM(AR73:AR79)</f>
        <v>0</v>
      </c>
      <c r="AS80" s="115"/>
      <c r="AT80" s="116">
        <f>SUM(AT73:AT79)</f>
        <v>250000</v>
      </c>
      <c r="AU80" s="115"/>
      <c r="AV80" s="116">
        <f>SUM(AV73:AV79)</f>
        <v>0</v>
      </c>
      <c r="AW80" s="117"/>
      <c r="AX80" s="116">
        <f>SUM(AX73:AX79)</f>
        <v>0</v>
      </c>
      <c r="AY80" s="117"/>
      <c r="AZ80" s="116">
        <f>SUM(AZ73:AZ79)</f>
        <v>0</v>
      </c>
      <c r="BA80" s="117"/>
      <c r="BB80" s="116">
        <f>SUM(BB73:BB79)</f>
        <v>0</v>
      </c>
      <c r="BC80" s="117"/>
      <c r="BD80" s="116">
        <f>SUM(BD73:BD79)</f>
        <v>0</v>
      </c>
      <c r="BE80" s="117"/>
      <c r="BF80" s="116">
        <f>SUM(BF73:BF79)</f>
        <v>0</v>
      </c>
      <c r="BG80" s="117"/>
      <c r="BH80" s="116">
        <f>SUM(BH73:BH79)</f>
        <v>0</v>
      </c>
      <c r="BI80" s="117"/>
      <c r="BJ80" s="116">
        <f>SUM(BJ73:BJ79)</f>
        <v>0</v>
      </c>
      <c r="BK80" s="117"/>
      <c r="BL80" s="116">
        <f>SUM(BL73:BL79)</f>
        <v>0</v>
      </c>
      <c r="BM80" s="115"/>
      <c r="BN80" s="116">
        <f>SUM(BN73:BN79)</f>
        <v>250000.33333333331</v>
      </c>
      <c r="BO80" s="115"/>
      <c r="BP80" s="116">
        <f>SUM(BP73:BP79)</f>
        <v>0</v>
      </c>
      <c r="BQ80" s="115"/>
      <c r="BR80" s="116">
        <f>SUM(BR73:BR79)</f>
        <v>0</v>
      </c>
      <c r="BS80" s="115"/>
      <c r="BT80" s="116">
        <f>SUM(BT73:BT79)</f>
        <v>250000.33333333331</v>
      </c>
      <c r="BU80" s="115"/>
      <c r="BV80" s="116">
        <f>SUM(BV73:BV79)</f>
        <v>-250000.33333333331</v>
      </c>
      <c r="BW80" s="117"/>
    </row>
    <row r="81" spans="1:75" customFormat="1"/>
    <row r="82" spans="1:75" s="15" customFormat="1">
      <c r="A82" s="62" t="s">
        <v>242</v>
      </c>
      <c r="B82" s="17"/>
      <c r="C82"/>
      <c r="D82"/>
      <c r="E82"/>
      <c r="F82"/>
      <c r="G82"/>
      <c r="H82"/>
      <c r="I82"/>
      <c r="J82" s="49"/>
      <c r="K82"/>
      <c r="L82" s="132" t="s">
        <v>202</v>
      </c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  <c r="BJ82" s="22"/>
      <c r="BK82" s="22"/>
      <c r="BL82" s="22"/>
      <c r="BM82" s="22"/>
      <c r="BN82" s="22"/>
      <c r="BO82" s="22"/>
      <c r="BP82" s="22"/>
      <c r="BQ82" s="22"/>
      <c r="BR82" s="22"/>
      <c r="BS82" s="22"/>
      <c r="BT82" s="22"/>
      <c r="BU82" s="22"/>
      <c r="BV82" s="22"/>
      <c r="BW82" s="22"/>
    </row>
    <row r="83" spans="1:75" s="15" customFormat="1" hidden="1">
      <c r="A83" s="62"/>
      <c r="B83" s="17" t="s">
        <v>17</v>
      </c>
      <c r="C83"/>
      <c r="D83"/>
      <c r="E83"/>
      <c r="F83"/>
      <c r="G83"/>
      <c r="H83"/>
      <c r="I83"/>
      <c r="J83" s="49"/>
      <c r="K83"/>
      <c r="L83" s="132" t="s">
        <v>202</v>
      </c>
      <c r="M83" s="22"/>
      <c r="N83" s="22">
        <v>0</v>
      </c>
      <c r="O83" s="22"/>
      <c r="P83" s="22">
        <v>0</v>
      </c>
      <c r="Q83" s="22"/>
      <c r="R83" s="6">
        <f>+N83+P83</f>
        <v>0</v>
      </c>
      <c r="S83" s="22"/>
      <c r="T83" s="22">
        <v>0</v>
      </c>
      <c r="U83" s="22"/>
      <c r="V83" s="22">
        <v>0</v>
      </c>
      <c r="W83" s="22"/>
      <c r="X83" s="22">
        <v>0</v>
      </c>
      <c r="Y83" s="22"/>
      <c r="Z83" s="22">
        <v>0</v>
      </c>
      <c r="AA83" s="22"/>
      <c r="AB83" s="22">
        <v>0</v>
      </c>
      <c r="AC83" s="22"/>
      <c r="AD83" s="22">
        <v>0</v>
      </c>
      <c r="AE83" s="22"/>
      <c r="AF83" s="22">
        <v>0</v>
      </c>
      <c r="AG83" s="22"/>
      <c r="AH83" s="22">
        <v>0</v>
      </c>
      <c r="AI83" s="22"/>
      <c r="AJ83" s="22">
        <v>0</v>
      </c>
      <c r="AK83" s="22"/>
      <c r="AL83" s="22"/>
      <c r="AM83" s="22"/>
      <c r="AN83" s="22">
        <v>0</v>
      </c>
      <c r="AO83" s="22"/>
      <c r="AP83" s="22">
        <v>0</v>
      </c>
      <c r="AQ83" s="22"/>
      <c r="AR83" s="22">
        <v>0</v>
      </c>
      <c r="AS83" s="22"/>
      <c r="AT83" s="22">
        <v>0</v>
      </c>
      <c r="AU83" s="22"/>
      <c r="AV83" s="22">
        <v>0</v>
      </c>
      <c r="AW83" s="22"/>
      <c r="AX83" s="22">
        <v>0</v>
      </c>
      <c r="AY83" s="22"/>
      <c r="AZ83" s="22">
        <v>0</v>
      </c>
      <c r="BA83" s="22"/>
      <c r="BB83" s="22">
        <v>0</v>
      </c>
      <c r="BC83" s="22"/>
      <c r="BD83" s="22">
        <v>0</v>
      </c>
      <c r="BE83" s="22"/>
      <c r="BF83" s="22">
        <v>0</v>
      </c>
      <c r="BG83" s="22"/>
      <c r="BH83" s="22">
        <v>0</v>
      </c>
      <c r="BI83" s="22"/>
      <c r="BJ83" s="22">
        <v>0</v>
      </c>
      <c r="BK83" s="22"/>
      <c r="BL83" s="22">
        <v>0</v>
      </c>
      <c r="BM83" s="22"/>
      <c r="BN83" s="22">
        <f>SUM(T83:BM83)</f>
        <v>0</v>
      </c>
      <c r="BO83" s="22"/>
      <c r="BP83" s="22">
        <v>0</v>
      </c>
      <c r="BQ83" s="22"/>
      <c r="BR83" s="22">
        <f>+R83-BN83+BP83</f>
        <v>0</v>
      </c>
      <c r="BS83" s="22"/>
      <c r="BT83" s="6">
        <f>+BN83+BR83</f>
        <v>0</v>
      </c>
      <c r="BU83" s="22"/>
      <c r="BV83" s="6">
        <f>+R83-BT83</f>
        <v>0</v>
      </c>
      <c r="BW83" s="22"/>
    </row>
    <row r="84" spans="1:75" s="15" customFormat="1" hidden="1">
      <c r="A84" s="62"/>
      <c r="B84" s="17" t="s">
        <v>16</v>
      </c>
      <c r="C84"/>
      <c r="D84"/>
      <c r="E84"/>
      <c r="F84"/>
      <c r="G84"/>
      <c r="H84"/>
      <c r="I84"/>
      <c r="J84" s="49"/>
      <c r="K84"/>
      <c r="L84" s="132" t="s">
        <v>202</v>
      </c>
      <c r="M84" s="22"/>
      <c r="N84" s="22">
        <v>0</v>
      </c>
      <c r="O84" s="22"/>
      <c r="P84" s="22">
        <v>0</v>
      </c>
      <c r="Q84" s="22"/>
      <c r="R84" s="6">
        <f>+N84+P84</f>
        <v>0</v>
      </c>
      <c r="S84" s="22"/>
      <c r="T84" s="22">
        <v>0</v>
      </c>
      <c r="U84" s="22"/>
      <c r="V84" s="22">
        <v>0</v>
      </c>
      <c r="W84" s="22"/>
      <c r="X84" s="22">
        <v>0</v>
      </c>
      <c r="Y84" s="22"/>
      <c r="Z84" s="22">
        <v>0</v>
      </c>
      <c r="AA84" s="22"/>
      <c r="AB84" s="22">
        <v>0</v>
      </c>
      <c r="AC84" s="22"/>
      <c r="AD84" s="22">
        <v>0</v>
      </c>
      <c r="AE84" s="22"/>
      <c r="AF84" s="22">
        <v>0</v>
      </c>
      <c r="AG84" s="22"/>
      <c r="AH84" s="22">
        <v>0</v>
      </c>
      <c r="AI84" s="22"/>
      <c r="AJ84" s="22">
        <v>0</v>
      </c>
      <c r="AK84" s="22"/>
      <c r="AL84" s="22"/>
      <c r="AM84" s="22"/>
      <c r="AN84" s="22">
        <v>0</v>
      </c>
      <c r="AO84" s="22"/>
      <c r="AP84" s="22">
        <v>0</v>
      </c>
      <c r="AQ84" s="22"/>
      <c r="AR84" s="22">
        <v>0</v>
      </c>
      <c r="AS84" s="22"/>
      <c r="AT84" s="22">
        <v>0</v>
      </c>
      <c r="AU84" s="22"/>
      <c r="AV84" s="22">
        <v>0</v>
      </c>
      <c r="AW84" s="22"/>
      <c r="AX84" s="22">
        <v>0</v>
      </c>
      <c r="AY84" s="22"/>
      <c r="AZ84" s="22">
        <v>0</v>
      </c>
      <c r="BA84" s="22"/>
      <c r="BB84" s="22">
        <v>0</v>
      </c>
      <c r="BC84" s="22"/>
      <c r="BD84" s="22">
        <v>0</v>
      </c>
      <c r="BE84" s="22"/>
      <c r="BF84" s="22">
        <v>0</v>
      </c>
      <c r="BG84" s="22"/>
      <c r="BH84" s="22">
        <v>0</v>
      </c>
      <c r="BI84" s="22"/>
      <c r="BJ84" s="22">
        <v>0</v>
      </c>
      <c r="BK84" s="22"/>
      <c r="BL84" s="22">
        <v>0</v>
      </c>
      <c r="BM84" s="22"/>
      <c r="BN84" s="22">
        <f>SUM(T84:BM84)</f>
        <v>0</v>
      </c>
      <c r="BO84" s="22"/>
      <c r="BP84" s="22">
        <v>0</v>
      </c>
      <c r="BQ84" s="22"/>
      <c r="BR84" s="22">
        <f>+R84-BN84+BP84</f>
        <v>0</v>
      </c>
      <c r="BS84" s="22"/>
      <c r="BT84" s="6">
        <f>+BN84+BR84</f>
        <v>0</v>
      </c>
      <c r="BU84" s="22"/>
      <c r="BV84" s="6">
        <f>+R84-BT84</f>
        <v>0</v>
      </c>
      <c r="BW84" s="22"/>
    </row>
    <row r="85" spans="1:75" s="15" customFormat="1" hidden="1">
      <c r="A85" s="57"/>
      <c r="B85" s="17" t="s">
        <v>18</v>
      </c>
      <c r="C85"/>
      <c r="D85"/>
      <c r="E85"/>
      <c r="F85"/>
      <c r="G85"/>
      <c r="H85"/>
      <c r="I85"/>
      <c r="J85" s="49"/>
      <c r="K85"/>
      <c r="L85" s="132" t="s">
        <v>202</v>
      </c>
      <c r="M85" s="22"/>
      <c r="N85" s="22">
        <v>0</v>
      </c>
      <c r="O85" s="22"/>
      <c r="P85" s="22">
        <v>0</v>
      </c>
      <c r="Q85" s="22"/>
      <c r="R85" s="6">
        <f>+N85+P85</f>
        <v>0</v>
      </c>
      <c r="S85" s="22"/>
      <c r="T85" s="22">
        <v>0</v>
      </c>
      <c r="U85" s="22"/>
      <c r="V85" s="22">
        <v>0</v>
      </c>
      <c r="W85" s="22"/>
      <c r="X85" s="22">
        <v>0</v>
      </c>
      <c r="Y85" s="22"/>
      <c r="Z85" s="22">
        <v>0</v>
      </c>
      <c r="AA85" s="22"/>
      <c r="AB85" s="22">
        <v>0</v>
      </c>
      <c r="AC85" s="22"/>
      <c r="AD85" s="22">
        <v>0</v>
      </c>
      <c r="AE85" s="22"/>
      <c r="AF85" s="22">
        <v>0</v>
      </c>
      <c r="AG85" s="22"/>
      <c r="AH85" s="22">
        <v>0</v>
      </c>
      <c r="AI85" s="22"/>
      <c r="AJ85" s="22">
        <v>0</v>
      </c>
      <c r="AK85" s="22"/>
      <c r="AL85" s="22"/>
      <c r="AM85" s="22"/>
      <c r="AN85" s="22">
        <v>0</v>
      </c>
      <c r="AO85" s="22"/>
      <c r="AP85" s="22">
        <v>0</v>
      </c>
      <c r="AQ85" s="22"/>
      <c r="AR85" s="22">
        <v>0</v>
      </c>
      <c r="AS85" s="22"/>
      <c r="AT85" s="22">
        <v>0</v>
      </c>
      <c r="AU85" s="22"/>
      <c r="AV85" s="22">
        <v>0</v>
      </c>
      <c r="AW85" s="22"/>
      <c r="AX85" s="22">
        <v>0</v>
      </c>
      <c r="AY85" s="22"/>
      <c r="AZ85" s="22">
        <v>0</v>
      </c>
      <c r="BA85" s="22"/>
      <c r="BB85" s="22">
        <v>0</v>
      </c>
      <c r="BC85" s="22"/>
      <c r="BD85" s="22">
        <v>0</v>
      </c>
      <c r="BE85" s="22"/>
      <c r="BF85" s="22">
        <v>0</v>
      </c>
      <c r="BG85" s="22"/>
      <c r="BH85" s="22">
        <v>0</v>
      </c>
      <c r="BI85" s="22"/>
      <c r="BJ85" s="22">
        <v>0</v>
      </c>
      <c r="BK85" s="22"/>
      <c r="BL85" s="22">
        <v>0</v>
      </c>
      <c r="BM85" s="22"/>
      <c r="BN85" s="22">
        <f>SUM(T85:BM85)</f>
        <v>0</v>
      </c>
      <c r="BO85" s="22"/>
      <c r="BP85" s="22">
        <v>0</v>
      </c>
      <c r="BQ85" s="22"/>
      <c r="BR85" s="22">
        <f>+R85-BN85+BP85</f>
        <v>0</v>
      </c>
      <c r="BS85" s="22"/>
      <c r="BT85" s="6">
        <f>+BN85+BR85</f>
        <v>0</v>
      </c>
      <c r="BU85" s="22"/>
      <c r="BV85" s="6">
        <f>+R85-BT85</f>
        <v>0</v>
      </c>
      <c r="BW85" s="22"/>
    </row>
    <row r="86" spans="1:75" s="109" customFormat="1" hidden="1">
      <c r="A86" s="100"/>
      <c r="B86" s="17" t="s">
        <v>19</v>
      </c>
      <c r="C86" s="30"/>
      <c r="D86" s="30"/>
      <c r="E86" s="30"/>
      <c r="F86" s="30"/>
      <c r="G86" s="30"/>
      <c r="H86" s="30"/>
      <c r="I86" s="30"/>
      <c r="J86" s="153"/>
      <c r="K86" s="30"/>
      <c r="L86" s="132" t="s">
        <v>202</v>
      </c>
      <c r="M86" s="80"/>
      <c r="N86" s="80">
        <v>0</v>
      </c>
      <c r="O86" s="80"/>
      <c r="P86" s="80">
        <v>0</v>
      </c>
      <c r="Q86" s="80"/>
      <c r="R86" s="6">
        <f>+N86+P86</f>
        <v>0</v>
      </c>
      <c r="S86" s="80"/>
      <c r="T86" s="80">
        <v>0</v>
      </c>
      <c r="U86" s="80"/>
      <c r="V86" s="80">
        <v>0</v>
      </c>
      <c r="W86" s="80"/>
      <c r="X86" s="80">
        <v>0</v>
      </c>
      <c r="Y86" s="80"/>
      <c r="Z86" s="80">
        <v>0</v>
      </c>
      <c r="AA86" s="80"/>
      <c r="AB86" s="80">
        <v>0</v>
      </c>
      <c r="AC86" s="80"/>
      <c r="AD86" s="80">
        <v>0</v>
      </c>
      <c r="AE86" s="80"/>
      <c r="AF86" s="80">
        <v>0</v>
      </c>
      <c r="AG86" s="80"/>
      <c r="AH86" s="80">
        <v>0</v>
      </c>
      <c r="AI86" s="80"/>
      <c r="AJ86" s="80">
        <v>0</v>
      </c>
      <c r="AK86" s="80"/>
      <c r="AL86" s="80"/>
      <c r="AM86" s="80"/>
      <c r="AN86" s="80">
        <v>0</v>
      </c>
      <c r="AO86" s="80"/>
      <c r="AP86" s="80">
        <v>0</v>
      </c>
      <c r="AQ86" s="80"/>
      <c r="AR86" s="80">
        <v>0</v>
      </c>
      <c r="AS86" s="80"/>
      <c r="AT86" s="80">
        <v>0</v>
      </c>
      <c r="AU86" s="80"/>
      <c r="AV86" s="80">
        <v>0</v>
      </c>
      <c r="AW86" s="80"/>
      <c r="AX86" s="80">
        <v>0</v>
      </c>
      <c r="AY86" s="80"/>
      <c r="AZ86" s="80">
        <v>0</v>
      </c>
      <c r="BA86" s="80"/>
      <c r="BB86" s="80">
        <v>0</v>
      </c>
      <c r="BC86" s="80"/>
      <c r="BD86" s="80">
        <v>0</v>
      </c>
      <c r="BE86" s="80"/>
      <c r="BF86" s="80">
        <v>0</v>
      </c>
      <c r="BG86" s="80"/>
      <c r="BH86" s="80">
        <v>0</v>
      </c>
      <c r="BI86" s="80"/>
      <c r="BJ86" s="80">
        <v>0</v>
      </c>
      <c r="BK86" s="80"/>
      <c r="BL86" s="80">
        <v>0</v>
      </c>
      <c r="BM86" s="80"/>
      <c r="BN86" s="80">
        <f>SUM(T86:BM86)</f>
        <v>0</v>
      </c>
      <c r="BO86" s="80"/>
      <c r="BP86" s="80">
        <v>0</v>
      </c>
      <c r="BQ86" s="80"/>
      <c r="BR86" s="80">
        <f>+R86-BN86+BP86</f>
        <v>0</v>
      </c>
      <c r="BS86" s="80"/>
      <c r="BT86" s="6">
        <f>+BN86+BR86</f>
        <v>0</v>
      </c>
      <c r="BU86" s="80"/>
      <c r="BV86" s="6">
        <f>+R86-BT86</f>
        <v>0</v>
      </c>
      <c r="BW86" s="80"/>
    </row>
    <row r="87" spans="1:75" s="15" customFormat="1">
      <c r="A87" s="57"/>
      <c r="B87" s="17" t="s">
        <v>121</v>
      </c>
      <c r="C87"/>
      <c r="D87"/>
      <c r="E87"/>
      <c r="F87"/>
      <c r="G87"/>
      <c r="H87"/>
      <c r="I87"/>
      <c r="J87" s="49" t="s">
        <v>0</v>
      </c>
      <c r="K87"/>
      <c r="L87" s="132" t="s">
        <v>202</v>
      </c>
      <c r="M87" s="22"/>
      <c r="N87" s="80">
        <v>0</v>
      </c>
      <c r="O87" s="22"/>
      <c r="P87" s="80">
        <v>0</v>
      </c>
      <c r="Q87" s="22"/>
      <c r="R87" s="6">
        <f>+N87+P87</f>
        <v>0</v>
      </c>
      <c r="S87" s="22"/>
      <c r="T87" s="80">
        <v>0</v>
      </c>
      <c r="U87" s="80"/>
      <c r="V87" s="80">
        <v>0</v>
      </c>
      <c r="W87" s="80"/>
      <c r="X87" s="80">
        <v>0</v>
      </c>
      <c r="Y87" s="80"/>
      <c r="Z87" s="80">
        <v>0</v>
      </c>
      <c r="AA87" s="80"/>
      <c r="AB87" s="80">
        <v>0</v>
      </c>
      <c r="AC87" s="80"/>
      <c r="AD87" s="80">
        <v>0</v>
      </c>
      <c r="AE87" s="80"/>
      <c r="AF87" s="80">
        <v>0</v>
      </c>
      <c r="AG87" s="80"/>
      <c r="AH87" s="80">
        <v>0</v>
      </c>
      <c r="AI87" s="80"/>
      <c r="AJ87" s="80">
        <v>0</v>
      </c>
      <c r="AK87" s="80"/>
      <c r="AL87" s="80"/>
      <c r="AM87" s="80"/>
      <c r="AN87" s="80">
        <v>0</v>
      </c>
      <c r="AO87" s="80"/>
      <c r="AP87" s="80">
        <v>0</v>
      </c>
      <c r="AQ87" s="80"/>
      <c r="AR87" s="80">
        <v>0</v>
      </c>
      <c r="AS87" s="80"/>
      <c r="AT87" s="80">
        <v>0</v>
      </c>
      <c r="AU87" s="80"/>
      <c r="AV87" s="80">
        <v>0</v>
      </c>
      <c r="AW87" s="80"/>
      <c r="AX87" s="80">
        <v>0</v>
      </c>
      <c r="AY87" s="80"/>
      <c r="AZ87" s="80">
        <v>0</v>
      </c>
      <c r="BA87" s="80"/>
      <c r="BB87" s="80">
        <v>0</v>
      </c>
      <c r="BC87" s="80"/>
      <c r="BD87" s="80">
        <v>0</v>
      </c>
      <c r="BE87" s="80"/>
      <c r="BF87" s="80">
        <v>0</v>
      </c>
      <c r="BG87" s="80"/>
      <c r="BH87" s="80">
        <v>0</v>
      </c>
      <c r="BI87" s="80"/>
      <c r="BJ87" s="80">
        <v>0</v>
      </c>
      <c r="BK87" s="80"/>
      <c r="BL87" s="80">
        <v>0</v>
      </c>
      <c r="BM87" s="22"/>
      <c r="BN87" s="80">
        <f>SUM(T87:BM87)</f>
        <v>0</v>
      </c>
      <c r="BO87" s="22"/>
      <c r="BP87" s="80">
        <v>0</v>
      </c>
      <c r="BQ87" s="22"/>
      <c r="BR87" s="6">
        <f>IF(+R87-BN87+BP87&gt;0,R87-BN87+BP87,0)</f>
        <v>0</v>
      </c>
      <c r="BS87" s="22"/>
      <c r="BT87" s="6">
        <f>+BN87+BR87</f>
        <v>0</v>
      </c>
      <c r="BU87" s="22"/>
      <c r="BV87" s="6">
        <f>+R87-BT87</f>
        <v>0</v>
      </c>
      <c r="BW87" s="80"/>
    </row>
    <row r="88" spans="1:75" s="15" customFormat="1">
      <c r="A88" s="57"/>
      <c r="B88" s="17"/>
      <c r="C88"/>
      <c r="D88"/>
      <c r="E88"/>
      <c r="F88"/>
      <c r="G88"/>
      <c r="H88"/>
      <c r="I88"/>
      <c r="J88" s="49"/>
      <c r="K88"/>
      <c r="L88" s="132"/>
      <c r="M88" s="22"/>
      <c r="N88" s="80"/>
      <c r="O88" s="22"/>
      <c r="P88" s="80"/>
      <c r="Q88" s="22"/>
      <c r="R88" s="80"/>
      <c r="S88" s="22"/>
      <c r="T88" s="80"/>
      <c r="U88" s="80"/>
      <c r="V88" s="80"/>
      <c r="W88" s="80"/>
      <c r="X88" s="80"/>
      <c r="Y88" s="80"/>
      <c r="Z88" s="80"/>
      <c r="AA88" s="80"/>
      <c r="AB88" s="80"/>
      <c r="AC88" s="80"/>
      <c r="AD88" s="80"/>
      <c r="AE88" s="80"/>
      <c r="AF88" s="80"/>
      <c r="AG88" s="80"/>
      <c r="AH88" s="80"/>
      <c r="AI88" s="80"/>
      <c r="AJ88" s="80"/>
      <c r="AK88" s="80"/>
      <c r="AL88" s="80"/>
      <c r="AM88" s="80"/>
      <c r="AN88" s="80"/>
      <c r="AO88" s="80"/>
      <c r="AP88" s="80"/>
      <c r="AQ88" s="80"/>
      <c r="AR88" s="80"/>
      <c r="AS88" s="80"/>
      <c r="AT88" s="80"/>
      <c r="AU88" s="80"/>
      <c r="AV88" s="80"/>
      <c r="AW88" s="80"/>
      <c r="AX88" s="80"/>
      <c r="AY88" s="80"/>
      <c r="AZ88" s="80"/>
      <c r="BA88" s="80"/>
      <c r="BB88" s="80"/>
      <c r="BC88" s="80"/>
      <c r="BD88" s="80"/>
      <c r="BE88" s="80"/>
      <c r="BF88" s="80"/>
      <c r="BG88" s="80"/>
      <c r="BH88" s="80"/>
      <c r="BI88" s="80"/>
      <c r="BJ88" s="80"/>
      <c r="BK88" s="80"/>
      <c r="BL88" s="80"/>
      <c r="BM88" s="22"/>
      <c r="BN88" s="80"/>
      <c r="BO88" s="22"/>
      <c r="BP88" s="80"/>
      <c r="BQ88" s="22"/>
      <c r="BR88" s="80"/>
      <c r="BS88" s="22"/>
      <c r="BT88" s="80"/>
      <c r="BU88" s="22"/>
      <c r="BV88" s="80"/>
      <c r="BW88" s="80"/>
    </row>
    <row r="89" spans="1:75" s="104" customFormat="1">
      <c r="A89" s="111"/>
      <c r="B89" s="77" t="s">
        <v>245</v>
      </c>
      <c r="C89" s="21"/>
      <c r="D89" s="21"/>
      <c r="E89" s="21"/>
      <c r="F89" s="21"/>
      <c r="G89" s="21"/>
      <c r="H89" s="21"/>
      <c r="I89" s="21"/>
      <c r="J89" s="8"/>
      <c r="K89" s="21"/>
      <c r="L89" s="141"/>
      <c r="M89" s="16"/>
      <c r="N89" s="108">
        <f>SUM(N83:N88)</f>
        <v>0</v>
      </c>
      <c r="O89" s="16"/>
      <c r="P89" s="108">
        <f>SUM(P83:P88)</f>
        <v>0</v>
      </c>
      <c r="Q89" s="16"/>
      <c r="R89" s="108">
        <f>SUM(R83:R88)</f>
        <v>0</v>
      </c>
      <c r="S89" s="16"/>
      <c r="T89" s="108">
        <f>SUM(T83:T88)</f>
        <v>0</v>
      </c>
      <c r="U89" s="16"/>
      <c r="V89" s="108">
        <f>SUM(V83:V88)</f>
        <v>0</v>
      </c>
      <c r="W89" s="16"/>
      <c r="X89" s="108">
        <f>SUM(X83:X88)</f>
        <v>0</v>
      </c>
      <c r="Y89" s="16"/>
      <c r="Z89" s="108">
        <f>SUM(Z83:Z88)</f>
        <v>0</v>
      </c>
      <c r="AA89" s="16"/>
      <c r="AB89" s="108">
        <f>SUM(AB83:AB88)</f>
        <v>0</v>
      </c>
      <c r="AC89" s="16"/>
      <c r="AD89" s="108">
        <f>SUM(AD83:AD88)</f>
        <v>0</v>
      </c>
      <c r="AE89" s="16"/>
      <c r="AF89" s="108">
        <f>SUM(AF83:AF88)</f>
        <v>0</v>
      </c>
      <c r="AG89" s="16"/>
      <c r="AH89" s="108">
        <f>SUM(AH83:AH88)</f>
        <v>0</v>
      </c>
      <c r="AI89" s="16"/>
      <c r="AJ89" s="108">
        <f>SUM(AJ83:AJ88)</f>
        <v>0</v>
      </c>
      <c r="AK89" s="16"/>
      <c r="AL89" s="108">
        <f>SUM(AL83:AL88)</f>
        <v>0</v>
      </c>
      <c r="AM89" s="108"/>
      <c r="AN89" s="108">
        <f>SUM(AN83:AN88)</f>
        <v>0</v>
      </c>
      <c r="AO89" s="16"/>
      <c r="AP89" s="108">
        <f>SUM(AP83:AP88)</f>
        <v>0</v>
      </c>
      <c r="AQ89" s="16"/>
      <c r="AR89" s="108">
        <f>SUM(AR83:AR88)</f>
        <v>0</v>
      </c>
      <c r="AS89" s="16"/>
      <c r="AT89" s="108">
        <f>SUM(AT83:AT88)</f>
        <v>0</v>
      </c>
      <c r="AU89" s="16"/>
      <c r="AV89" s="108">
        <f>SUM(AV83:AV88)</f>
        <v>0</v>
      </c>
      <c r="AW89" s="103"/>
      <c r="AX89" s="108">
        <f>SUM(AX83:AX88)</f>
        <v>0</v>
      </c>
      <c r="AY89" s="103"/>
      <c r="AZ89" s="108">
        <f>SUM(AZ83:AZ88)</f>
        <v>0</v>
      </c>
      <c r="BA89" s="103"/>
      <c r="BB89" s="108">
        <f>SUM(BB83:BB88)</f>
        <v>0</v>
      </c>
      <c r="BC89" s="103"/>
      <c r="BD89" s="108">
        <f>SUM(BD83:BD88)</f>
        <v>0</v>
      </c>
      <c r="BE89" s="103"/>
      <c r="BF89" s="108">
        <f>SUM(BF83:BF88)</f>
        <v>0</v>
      </c>
      <c r="BG89" s="103"/>
      <c r="BH89" s="108">
        <f>SUM(BH83:BH88)</f>
        <v>0</v>
      </c>
      <c r="BI89" s="103"/>
      <c r="BJ89" s="108">
        <f>SUM(BJ83:BJ88)</f>
        <v>0</v>
      </c>
      <c r="BK89" s="103"/>
      <c r="BL89" s="108">
        <f>SUM(BL83:BL88)</f>
        <v>0</v>
      </c>
      <c r="BM89" s="16"/>
      <c r="BN89" s="108">
        <f>SUM(BN83:BN88)</f>
        <v>0</v>
      </c>
      <c r="BO89" s="16"/>
      <c r="BP89" s="108">
        <f>SUM(BP83:BP88)</f>
        <v>0</v>
      </c>
      <c r="BQ89" s="16"/>
      <c r="BR89" s="108">
        <f>SUM(BR83:BR88)</f>
        <v>0</v>
      </c>
      <c r="BS89" s="16"/>
      <c r="BT89" s="108">
        <f>SUM(BT83:BT88)</f>
        <v>0</v>
      </c>
      <c r="BU89" s="16"/>
      <c r="BV89" s="108">
        <f>SUM(BV83:BV88)</f>
        <v>0</v>
      </c>
      <c r="BW89" s="16"/>
    </row>
    <row r="90" spans="1:75" s="15" customFormat="1">
      <c r="A90" s="57"/>
      <c r="B90" s="17"/>
      <c r="C90"/>
      <c r="D90"/>
      <c r="E90"/>
      <c r="F90"/>
      <c r="G90"/>
      <c r="H90"/>
      <c r="I90"/>
      <c r="J90" s="49"/>
      <c r="K90"/>
      <c r="L90" s="13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  <c r="BJ90" s="22"/>
      <c r="BK90" s="22"/>
      <c r="BL90" s="22"/>
      <c r="BM90" s="22"/>
      <c r="BN90" s="22"/>
      <c r="BO90" s="22"/>
      <c r="BP90" s="22"/>
      <c r="BQ90" s="22"/>
      <c r="BR90" s="22"/>
      <c r="BS90" s="22"/>
      <c r="BT90" s="22"/>
      <c r="BU90" s="22"/>
      <c r="BV90" s="22"/>
      <c r="BW90" s="22"/>
    </row>
    <row r="91" spans="1:75" s="15" customFormat="1" hidden="1">
      <c r="A91" s="62" t="s">
        <v>20</v>
      </c>
      <c r="B91" s="17"/>
      <c r="C91"/>
      <c r="D91"/>
      <c r="E91"/>
      <c r="F91"/>
      <c r="G91"/>
      <c r="H91"/>
      <c r="I91"/>
      <c r="J91" s="49"/>
      <c r="K91"/>
      <c r="L91" s="13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  <c r="BJ91" s="22"/>
      <c r="BK91" s="22"/>
      <c r="BL91" s="22"/>
      <c r="BM91" s="22"/>
      <c r="BN91" s="22"/>
      <c r="BO91" s="22"/>
      <c r="BP91" s="22"/>
      <c r="BQ91" s="22"/>
      <c r="BR91" s="22"/>
      <c r="BS91" s="22"/>
      <c r="BT91" s="22"/>
      <c r="BU91" s="22"/>
      <c r="BV91" s="22"/>
      <c r="BW91" s="22"/>
    </row>
    <row r="92" spans="1:75" s="15" customFormat="1" hidden="1">
      <c r="A92" s="62"/>
      <c r="B92" s="17" t="s">
        <v>60</v>
      </c>
      <c r="C92"/>
      <c r="D92"/>
      <c r="E92"/>
      <c r="F92"/>
      <c r="G92"/>
      <c r="H92"/>
      <c r="I92"/>
      <c r="J92" s="49"/>
      <c r="K92"/>
      <c r="L92" s="132" t="s">
        <v>202</v>
      </c>
      <c r="M92" s="22"/>
      <c r="N92" s="22">
        <v>0</v>
      </c>
      <c r="O92" s="22"/>
      <c r="P92" s="22">
        <v>0</v>
      </c>
      <c r="Q92" s="22"/>
      <c r="R92" s="6">
        <f t="shared" ref="R92:R100" si="18">+N92+P92</f>
        <v>0</v>
      </c>
      <c r="S92" s="22"/>
      <c r="T92" s="22">
        <v>0</v>
      </c>
      <c r="U92" s="22"/>
      <c r="V92" s="22">
        <v>0</v>
      </c>
      <c r="W92" s="22"/>
      <c r="X92" s="22">
        <v>0</v>
      </c>
      <c r="Y92" s="22"/>
      <c r="Z92" s="22">
        <v>0</v>
      </c>
      <c r="AA92" s="22"/>
      <c r="AB92" s="22">
        <v>0</v>
      </c>
      <c r="AC92" s="22"/>
      <c r="AD92" s="22">
        <v>0</v>
      </c>
      <c r="AE92" s="22"/>
      <c r="AF92" s="22">
        <v>0</v>
      </c>
      <c r="AG92" s="22"/>
      <c r="AH92" s="22">
        <v>0</v>
      </c>
      <c r="AI92" s="22"/>
      <c r="AJ92" s="22">
        <v>0</v>
      </c>
      <c r="AK92" s="22"/>
      <c r="AL92" s="22"/>
      <c r="AM92" s="22"/>
      <c r="AN92" s="22">
        <v>0</v>
      </c>
      <c r="AO92" s="22"/>
      <c r="AP92" s="22">
        <v>0</v>
      </c>
      <c r="AQ92" s="22"/>
      <c r="AR92" s="22">
        <v>0</v>
      </c>
      <c r="AS92" s="22"/>
      <c r="AT92" s="22">
        <v>0</v>
      </c>
      <c r="AU92" s="22"/>
      <c r="AV92" s="22">
        <v>0</v>
      </c>
      <c r="AW92" s="22"/>
      <c r="AX92" s="22">
        <v>0</v>
      </c>
      <c r="AY92" s="22"/>
      <c r="AZ92" s="22">
        <v>0</v>
      </c>
      <c r="BA92" s="22"/>
      <c r="BB92" s="22">
        <v>0</v>
      </c>
      <c r="BC92" s="22"/>
      <c r="BD92" s="22">
        <v>0</v>
      </c>
      <c r="BE92" s="22"/>
      <c r="BF92" s="22">
        <v>0</v>
      </c>
      <c r="BG92" s="22"/>
      <c r="BH92" s="22">
        <v>0</v>
      </c>
      <c r="BI92" s="22"/>
      <c r="BJ92" s="22">
        <v>0</v>
      </c>
      <c r="BK92" s="22"/>
      <c r="BL92" s="22">
        <v>0</v>
      </c>
      <c r="BM92" s="22"/>
      <c r="BN92" s="22">
        <f t="shared" ref="BN92:BN100" si="19">SUM(T92:BM92)</f>
        <v>0</v>
      </c>
      <c r="BO92" s="22"/>
      <c r="BP92" s="22">
        <v>0</v>
      </c>
      <c r="BQ92" s="22"/>
      <c r="BR92" s="22">
        <f t="shared" ref="BR92:BR100" si="20">+R92-BN92+BP92</f>
        <v>0</v>
      </c>
      <c r="BS92" s="22"/>
      <c r="BT92" s="6">
        <f t="shared" ref="BT92:BT115" si="21">+BN92+BR92</f>
        <v>0</v>
      </c>
      <c r="BU92" s="22"/>
      <c r="BV92" s="6">
        <f t="shared" ref="BV92:BV115" si="22">+R92-BT92</f>
        <v>0</v>
      </c>
      <c r="BW92" s="22"/>
    </row>
    <row r="93" spans="1:75" s="15" customFormat="1" hidden="1">
      <c r="A93" s="62"/>
      <c r="B93" s="17" t="s">
        <v>61</v>
      </c>
      <c r="C93"/>
      <c r="D93"/>
      <c r="E93"/>
      <c r="F93"/>
      <c r="G93"/>
      <c r="H93"/>
      <c r="I93"/>
      <c r="J93" s="49"/>
      <c r="K93"/>
      <c r="L93" s="132" t="s">
        <v>202</v>
      </c>
      <c r="M93" s="22"/>
      <c r="N93" s="22">
        <v>0</v>
      </c>
      <c r="O93" s="22"/>
      <c r="P93" s="22">
        <v>0</v>
      </c>
      <c r="Q93" s="22"/>
      <c r="R93" s="6">
        <f t="shared" si="18"/>
        <v>0</v>
      </c>
      <c r="S93" s="22"/>
      <c r="T93" s="22">
        <v>0</v>
      </c>
      <c r="U93" s="22"/>
      <c r="V93" s="22">
        <v>0</v>
      </c>
      <c r="W93" s="22"/>
      <c r="X93" s="22">
        <v>0</v>
      </c>
      <c r="Y93" s="22"/>
      <c r="Z93" s="22">
        <v>0</v>
      </c>
      <c r="AA93" s="22"/>
      <c r="AB93" s="22">
        <v>0</v>
      </c>
      <c r="AC93" s="22"/>
      <c r="AD93" s="22">
        <v>0</v>
      </c>
      <c r="AE93" s="22"/>
      <c r="AF93" s="22">
        <v>0</v>
      </c>
      <c r="AG93" s="22"/>
      <c r="AH93" s="22">
        <v>0</v>
      </c>
      <c r="AI93" s="22"/>
      <c r="AJ93" s="22">
        <v>0</v>
      </c>
      <c r="AK93" s="22"/>
      <c r="AL93" s="22"/>
      <c r="AM93" s="22"/>
      <c r="AN93" s="22">
        <v>0</v>
      </c>
      <c r="AO93" s="22"/>
      <c r="AP93" s="22">
        <v>0</v>
      </c>
      <c r="AQ93" s="22"/>
      <c r="AR93" s="22">
        <v>0</v>
      </c>
      <c r="AS93" s="22"/>
      <c r="AT93" s="22">
        <v>0</v>
      </c>
      <c r="AU93" s="22"/>
      <c r="AV93" s="22">
        <v>0</v>
      </c>
      <c r="AW93" s="22"/>
      <c r="AX93" s="22">
        <v>0</v>
      </c>
      <c r="AY93" s="22"/>
      <c r="AZ93" s="22">
        <v>0</v>
      </c>
      <c r="BA93" s="22"/>
      <c r="BB93" s="22">
        <v>0</v>
      </c>
      <c r="BC93" s="22"/>
      <c r="BD93" s="22">
        <v>0</v>
      </c>
      <c r="BE93" s="22"/>
      <c r="BF93" s="22">
        <v>0</v>
      </c>
      <c r="BG93" s="22"/>
      <c r="BH93" s="22">
        <v>0</v>
      </c>
      <c r="BI93" s="22"/>
      <c r="BJ93" s="22">
        <v>0</v>
      </c>
      <c r="BK93" s="22"/>
      <c r="BL93" s="22">
        <v>0</v>
      </c>
      <c r="BM93" s="22"/>
      <c r="BN93" s="22">
        <f t="shared" si="19"/>
        <v>0</v>
      </c>
      <c r="BO93" s="22"/>
      <c r="BP93" s="22">
        <v>0</v>
      </c>
      <c r="BQ93" s="22"/>
      <c r="BR93" s="22">
        <f t="shared" si="20"/>
        <v>0</v>
      </c>
      <c r="BS93" s="22"/>
      <c r="BT93" s="6">
        <f t="shared" si="21"/>
        <v>0</v>
      </c>
      <c r="BU93" s="22"/>
      <c r="BV93" s="6">
        <f t="shared" si="22"/>
        <v>0</v>
      </c>
      <c r="BW93" s="22"/>
    </row>
    <row r="94" spans="1:75" s="15" customFormat="1" hidden="1">
      <c r="A94" s="62"/>
      <c r="B94" s="17" t="s">
        <v>155</v>
      </c>
      <c r="C94"/>
      <c r="D94"/>
      <c r="E94"/>
      <c r="F94"/>
      <c r="G94"/>
      <c r="H94"/>
      <c r="I94"/>
      <c r="J94" s="49"/>
      <c r="K94"/>
      <c r="L94" s="132" t="s">
        <v>202</v>
      </c>
      <c r="M94" s="22"/>
      <c r="N94" s="22">
        <v>0</v>
      </c>
      <c r="O94" s="22"/>
      <c r="P94" s="22">
        <v>0</v>
      </c>
      <c r="Q94" s="22"/>
      <c r="R94" s="6">
        <f t="shared" si="18"/>
        <v>0</v>
      </c>
      <c r="S94" s="22"/>
      <c r="T94" s="22">
        <v>0</v>
      </c>
      <c r="U94" s="22"/>
      <c r="V94" s="22">
        <v>0</v>
      </c>
      <c r="W94" s="22"/>
      <c r="X94" s="22">
        <v>0</v>
      </c>
      <c r="Y94" s="22"/>
      <c r="Z94" s="22">
        <v>0</v>
      </c>
      <c r="AA94" s="22"/>
      <c r="AB94" s="22">
        <v>0</v>
      </c>
      <c r="AC94" s="22"/>
      <c r="AD94" s="22">
        <v>0</v>
      </c>
      <c r="AE94" s="22"/>
      <c r="AF94" s="22">
        <v>0</v>
      </c>
      <c r="AG94" s="22"/>
      <c r="AH94" s="22">
        <v>0</v>
      </c>
      <c r="AI94" s="22"/>
      <c r="AJ94" s="22">
        <v>0</v>
      </c>
      <c r="AK94" s="22"/>
      <c r="AL94" s="22"/>
      <c r="AM94" s="22"/>
      <c r="AN94" s="22">
        <v>0</v>
      </c>
      <c r="AO94" s="22"/>
      <c r="AP94" s="22">
        <v>0</v>
      </c>
      <c r="AQ94" s="22"/>
      <c r="AR94" s="22">
        <v>0</v>
      </c>
      <c r="AS94" s="22"/>
      <c r="AT94" s="22">
        <v>0</v>
      </c>
      <c r="AU94" s="22"/>
      <c r="AV94" s="22">
        <v>0</v>
      </c>
      <c r="AW94" s="22"/>
      <c r="AX94" s="22">
        <v>0</v>
      </c>
      <c r="AY94" s="22"/>
      <c r="AZ94" s="22">
        <v>0</v>
      </c>
      <c r="BA94" s="22"/>
      <c r="BB94" s="22">
        <v>0</v>
      </c>
      <c r="BC94" s="22"/>
      <c r="BD94" s="22">
        <v>0</v>
      </c>
      <c r="BE94" s="22"/>
      <c r="BF94" s="22">
        <v>0</v>
      </c>
      <c r="BG94" s="22"/>
      <c r="BH94" s="22">
        <v>0</v>
      </c>
      <c r="BI94" s="22"/>
      <c r="BJ94" s="22">
        <v>0</v>
      </c>
      <c r="BK94" s="22"/>
      <c r="BL94" s="22">
        <v>0</v>
      </c>
      <c r="BM94" s="22"/>
      <c r="BN94" s="22">
        <f t="shared" si="19"/>
        <v>0</v>
      </c>
      <c r="BO94" s="22"/>
      <c r="BP94" s="22">
        <v>0</v>
      </c>
      <c r="BQ94" s="22"/>
      <c r="BR94" s="22">
        <f t="shared" si="20"/>
        <v>0</v>
      </c>
      <c r="BS94" s="22"/>
      <c r="BT94" s="6">
        <f t="shared" si="21"/>
        <v>0</v>
      </c>
      <c r="BU94" s="22"/>
      <c r="BV94" s="6">
        <f t="shared" si="22"/>
        <v>0</v>
      </c>
      <c r="BW94" s="22"/>
    </row>
    <row r="95" spans="1:75" s="15" customFormat="1" hidden="1">
      <c r="A95" s="62"/>
      <c r="B95" s="17" t="s">
        <v>156</v>
      </c>
      <c r="C95"/>
      <c r="D95"/>
      <c r="E95"/>
      <c r="F95"/>
      <c r="G95"/>
      <c r="H95"/>
      <c r="I95"/>
      <c r="J95" s="49"/>
      <c r="K95"/>
      <c r="L95" s="132" t="s">
        <v>202</v>
      </c>
      <c r="M95" s="22"/>
      <c r="N95" s="22">
        <v>0</v>
      </c>
      <c r="O95" s="22"/>
      <c r="P95" s="22">
        <v>0</v>
      </c>
      <c r="Q95" s="22"/>
      <c r="R95" s="6">
        <f t="shared" si="18"/>
        <v>0</v>
      </c>
      <c r="S95" s="22"/>
      <c r="T95" s="22">
        <v>0</v>
      </c>
      <c r="U95" s="22"/>
      <c r="V95" s="22">
        <v>0</v>
      </c>
      <c r="W95" s="22"/>
      <c r="X95" s="22">
        <v>0</v>
      </c>
      <c r="Y95" s="22"/>
      <c r="Z95" s="22">
        <v>0</v>
      </c>
      <c r="AA95" s="22"/>
      <c r="AB95" s="22">
        <v>0</v>
      </c>
      <c r="AC95" s="22"/>
      <c r="AD95" s="22">
        <v>0</v>
      </c>
      <c r="AE95" s="22"/>
      <c r="AF95" s="22">
        <v>0</v>
      </c>
      <c r="AG95" s="22"/>
      <c r="AH95" s="22">
        <v>0</v>
      </c>
      <c r="AI95" s="22"/>
      <c r="AJ95" s="22">
        <v>0</v>
      </c>
      <c r="AK95" s="22"/>
      <c r="AL95" s="22"/>
      <c r="AM95" s="22"/>
      <c r="AN95" s="22">
        <v>0</v>
      </c>
      <c r="AO95" s="22"/>
      <c r="AP95" s="22">
        <v>0</v>
      </c>
      <c r="AQ95" s="22"/>
      <c r="AR95" s="22">
        <v>0</v>
      </c>
      <c r="AS95" s="22"/>
      <c r="AT95" s="22">
        <v>0</v>
      </c>
      <c r="AU95" s="22"/>
      <c r="AV95" s="22">
        <v>0</v>
      </c>
      <c r="AW95" s="22"/>
      <c r="AX95" s="22">
        <v>0</v>
      </c>
      <c r="AY95" s="22"/>
      <c r="AZ95" s="22">
        <v>0</v>
      </c>
      <c r="BA95" s="22"/>
      <c r="BB95" s="22">
        <v>0</v>
      </c>
      <c r="BC95" s="22"/>
      <c r="BD95" s="22">
        <v>0</v>
      </c>
      <c r="BE95" s="22"/>
      <c r="BF95" s="22">
        <v>0</v>
      </c>
      <c r="BG95" s="22"/>
      <c r="BH95" s="22">
        <v>0</v>
      </c>
      <c r="BI95" s="22"/>
      <c r="BJ95" s="22">
        <v>0</v>
      </c>
      <c r="BK95" s="22"/>
      <c r="BL95" s="22">
        <v>0</v>
      </c>
      <c r="BM95" s="22"/>
      <c r="BN95" s="22">
        <f t="shared" si="19"/>
        <v>0</v>
      </c>
      <c r="BO95" s="22"/>
      <c r="BP95" s="22">
        <v>0</v>
      </c>
      <c r="BQ95" s="22"/>
      <c r="BR95" s="22">
        <f t="shared" si="20"/>
        <v>0</v>
      </c>
      <c r="BS95" s="22"/>
      <c r="BT95" s="6">
        <f t="shared" si="21"/>
        <v>0</v>
      </c>
      <c r="BU95" s="22"/>
      <c r="BV95" s="6">
        <f t="shared" si="22"/>
        <v>0</v>
      </c>
      <c r="BW95" s="22"/>
    </row>
    <row r="96" spans="1:75" s="15" customFormat="1" hidden="1">
      <c r="A96" s="62"/>
      <c r="B96" s="17" t="s">
        <v>62</v>
      </c>
      <c r="C96"/>
      <c r="D96"/>
      <c r="E96"/>
      <c r="F96"/>
      <c r="G96"/>
      <c r="H96"/>
      <c r="I96"/>
      <c r="J96" s="49"/>
      <c r="K96"/>
      <c r="L96" s="132" t="s">
        <v>202</v>
      </c>
      <c r="M96" s="22"/>
      <c r="N96" s="22">
        <v>0</v>
      </c>
      <c r="O96" s="22"/>
      <c r="P96" s="22">
        <v>0</v>
      </c>
      <c r="Q96" s="22"/>
      <c r="R96" s="6">
        <f t="shared" si="18"/>
        <v>0</v>
      </c>
      <c r="S96" s="22"/>
      <c r="T96" s="22">
        <v>0</v>
      </c>
      <c r="U96" s="22"/>
      <c r="V96" s="22">
        <v>0</v>
      </c>
      <c r="W96" s="22"/>
      <c r="X96" s="22">
        <v>0</v>
      </c>
      <c r="Y96" s="22"/>
      <c r="Z96" s="22">
        <v>0</v>
      </c>
      <c r="AA96" s="22"/>
      <c r="AB96" s="22">
        <v>0</v>
      </c>
      <c r="AC96" s="22"/>
      <c r="AD96" s="22">
        <v>0</v>
      </c>
      <c r="AE96" s="22"/>
      <c r="AF96" s="22">
        <v>0</v>
      </c>
      <c r="AG96" s="22"/>
      <c r="AH96" s="22">
        <v>0</v>
      </c>
      <c r="AI96" s="22"/>
      <c r="AJ96" s="22">
        <v>0</v>
      </c>
      <c r="AK96" s="22"/>
      <c r="AL96" s="22"/>
      <c r="AM96" s="22"/>
      <c r="AN96" s="22">
        <v>0</v>
      </c>
      <c r="AO96" s="22"/>
      <c r="AP96" s="22">
        <v>0</v>
      </c>
      <c r="AQ96" s="22"/>
      <c r="AR96" s="22">
        <v>0</v>
      </c>
      <c r="AS96" s="22"/>
      <c r="AT96" s="22">
        <v>0</v>
      </c>
      <c r="AU96" s="22"/>
      <c r="AV96" s="22">
        <v>0</v>
      </c>
      <c r="AW96" s="22"/>
      <c r="AX96" s="22">
        <v>0</v>
      </c>
      <c r="AY96" s="22"/>
      <c r="AZ96" s="22">
        <v>0</v>
      </c>
      <c r="BA96" s="22"/>
      <c r="BB96" s="22">
        <v>0</v>
      </c>
      <c r="BC96" s="22"/>
      <c r="BD96" s="22">
        <v>0</v>
      </c>
      <c r="BE96" s="22"/>
      <c r="BF96" s="22">
        <v>0</v>
      </c>
      <c r="BG96" s="22"/>
      <c r="BH96" s="22">
        <v>0</v>
      </c>
      <c r="BI96" s="22"/>
      <c r="BJ96" s="22">
        <v>0</v>
      </c>
      <c r="BK96" s="22"/>
      <c r="BL96" s="22">
        <v>0</v>
      </c>
      <c r="BM96" s="22"/>
      <c r="BN96" s="22">
        <f t="shared" si="19"/>
        <v>0</v>
      </c>
      <c r="BO96" s="22"/>
      <c r="BP96" s="22">
        <v>0</v>
      </c>
      <c r="BQ96" s="22"/>
      <c r="BR96" s="22">
        <f t="shared" si="20"/>
        <v>0</v>
      </c>
      <c r="BS96" s="22"/>
      <c r="BT96" s="6">
        <f t="shared" si="21"/>
        <v>0</v>
      </c>
      <c r="BU96" s="22"/>
      <c r="BV96" s="6">
        <f t="shared" si="22"/>
        <v>0</v>
      </c>
      <c r="BW96" s="22"/>
    </row>
    <row r="97" spans="1:75" s="15" customFormat="1" hidden="1">
      <c r="A97" s="62"/>
      <c r="B97" s="17" t="s">
        <v>157</v>
      </c>
      <c r="C97"/>
      <c r="D97"/>
      <c r="E97"/>
      <c r="F97"/>
      <c r="G97"/>
      <c r="H97"/>
      <c r="I97"/>
      <c r="J97" s="49"/>
      <c r="K97"/>
      <c r="L97" s="132" t="s">
        <v>202</v>
      </c>
      <c r="M97" s="22"/>
      <c r="N97" s="22">
        <v>0</v>
      </c>
      <c r="O97" s="22"/>
      <c r="P97" s="22">
        <v>0</v>
      </c>
      <c r="Q97" s="22"/>
      <c r="R97" s="6">
        <f t="shared" si="18"/>
        <v>0</v>
      </c>
      <c r="S97" s="22"/>
      <c r="T97" s="22">
        <v>0</v>
      </c>
      <c r="U97" s="22"/>
      <c r="V97" s="22">
        <v>0</v>
      </c>
      <c r="W97" s="22"/>
      <c r="X97" s="22">
        <v>0</v>
      </c>
      <c r="Y97" s="22"/>
      <c r="Z97" s="22">
        <v>0</v>
      </c>
      <c r="AA97" s="22"/>
      <c r="AB97" s="22">
        <v>0</v>
      </c>
      <c r="AC97" s="22"/>
      <c r="AD97" s="22">
        <v>0</v>
      </c>
      <c r="AE97" s="22"/>
      <c r="AF97" s="22">
        <v>0</v>
      </c>
      <c r="AG97" s="22"/>
      <c r="AH97" s="22">
        <v>0</v>
      </c>
      <c r="AI97" s="22"/>
      <c r="AJ97" s="22">
        <v>0</v>
      </c>
      <c r="AK97" s="22"/>
      <c r="AL97" s="22"/>
      <c r="AM97" s="22"/>
      <c r="AN97" s="22">
        <v>0</v>
      </c>
      <c r="AO97" s="22"/>
      <c r="AP97" s="22">
        <v>0</v>
      </c>
      <c r="AQ97" s="22"/>
      <c r="AR97" s="22">
        <v>0</v>
      </c>
      <c r="AS97" s="22"/>
      <c r="AT97" s="22">
        <v>0</v>
      </c>
      <c r="AU97" s="22"/>
      <c r="AV97" s="22">
        <v>0</v>
      </c>
      <c r="AW97" s="22"/>
      <c r="AX97" s="22">
        <v>0</v>
      </c>
      <c r="AY97" s="22"/>
      <c r="AZ97" s="22">
        <v>0</v>
      </c>
      <c r="BA97" s="22"/>
      <c r="BB97" s="22">
        <v>0</v>
      </c>
      <c r="BC97" s="22"/>
      <c r="BD97" s="22">
        <v>0</v>
      </c>
      <c r="BE97" s="22"/>
      <c r="BF97" s="22">
        <v>0</v>
      </c>
      <c r="BG97" s="22"/>
      <c r="BH97" s="22">
        <v>0</v>
      </c>
      <c r="BI97" s="22"/>
      <c r="BJ97" s="22">
        <v>0</v>
      </c>
      <c r="BK97" s="22"/>
      <c r="BL97" s="22">
        <v>0</v>
      </c>
      <c r="BM97" s="22"/>
      <c r="BN97" s="22">
        <f t="shared" si="19"/>
        <v>0</v>
      </c>
      <c r="BO97" s="22"/>
      <c r="BP97" s="22">
        <v>0</v>
      </c>
      <c r="BQ97" s="22"/>
      <c r="BR97" s="22">
        <f t="shared" si="20"/>
        <v>0</v>
      </c>
      <c r="BS97" s="22"/>
      <c r="BT97" s="6">
        <f t="shared" si="21"/>
        <v>0</v>
      </c>
      <c r="BU97" s="22"/>
      <c r="BV97" s="6">
        <f t="shared" si="22"/>
        <v>0</v>
      </c>
      <c r="BW97" s="22"/>
    </row>
    <row r="98" spans="1:75" s="15" customFormat="1" hidden="1">
      <c r="A98" s="62"/>
      <c r="B98" s="17" t="s">
        <v>158</v>
      </c>
      <c r="C98"/>
      <c r="D98"/>
      <c r="E98"/>
      <c r="F98"/>
      <c r="G98"/>
      <c r="H98"/>
      <c r="I98"/>
      <c r="J98" s="49"/>
      <c r="K98"/>
      <c r="L98" s="132" t="s">
        <v>202</v>
      </c>
      <c r="M98" s="22"/>
      <c r="N98" s="22">
        <v>0</v>
      </c>
      <c r="O98" s="22"/>
      <c r="P98" s="22">
        <v>0</v>
      </c>
      <c r="Q98" s="22"/>
      <c r="R98" s="6">
        <f t="shared" si="18"/>
        <v>0</v>
      </c>
      <c r="S98" s="22"/>
      <c r="T98" s="22">
        <v>0</v>
      </c>
      <c r="U98" s="22"/>
      <c r="V98" s="22">
        <v>0</v>
      </c>
      <c r="W98" s="22"/>
      <c r="X98" s="22">
        <v>0</v>
      </c>
      <c r="Y98" s="22"/>
      <c r="Z98" s="22">
        <v>0</v>
      </c>
      <c r="AA98" s="22"/>
      <c r="AB98" s="22">
        <v>0</v>
      </c>
      <c r="AC98" s="22"/>
      <c r="AD98" s="22">
        <v>0</v>
      </c>
      <c r="AE98" s="22"/>
      <c r="AF98" s="22">
        <v>0</v>
      </c>
      <c r="AG98" s="22"/>
      <c r="AH98" s="22">
        <v>0</v>
      </c>
      <c r="AI98" s="22"/>
      <c r="AJ98" s="22">
        <v>0</v>
      </c>
      <c r="AK98" s="22"/>
      <c r="AL98" s="22"/>
      <c r="AM98" s="22"/>
      <c r="AN98" s="22">
        <v>0</v>
      </c>
      <c r="AO98" s="22"/>
      <c r="AP98" s="22">
        <v>0</v>
      </c>
      <c r="AQ98" s="22"/>
      <c r="AR98" s="22">
        <v>0</v>
      </c>
      <c r="AS98" s="22"/>
      <c r="AT98" s="22">
        <v>0</v>
      </c>
      <c r="AU98" s="22"/>
      <c r="AV98" s="22">
        <v>0</v>
      </c>
      <c r="AW98" s="22"/>
      <c r="AX98" s="22">
        <v>0</v>
      </c>
      <c r="AY98" s="22"/>
      <c r="AZ98" s="22">
        <v>0</v>
      </c>
      <c r="BA98" s="22"/>
      <c r="BB98" s="22">
        <v>0</v>
      </c>
      <c r="BC98" s="22"/>
      <c r="BD98" s="22">
        <v>0</v>
      </c>
      <c r="BE98" s="22"/>
      <c r="BF98" s="22">
        <v>0</v>
      </c>
      <c r="BG98" s="22"/>
      <c r="BH98" s="22">
        <v>0</v>
      </c>
      <c r="BI98" s="22"/>
      <c r="BJ98" s="22">
        <v>0</v>
      </c>
      <c r="BK98" s="22"/>
      <c r="BL98" s="22">
        <v>0</v>
      </c>
      <c r="BM98" s="22"/>
      <c r="BN98" s="22">
        <f t="shared" si="19"/>
        <v>0</v>
      </c>
      <c r="BO98" s="22"/>
      <c r="BP98" s="22">
        <v>0</v>
      </c>
      <c r="BQ98" s="22"/>
      <c r="BR98" s="22">
        <f t="shared" si="20"/>
        <v>0</v>
      </c>
      <c r="BS98" s="22"/>
      <c r="BT98" s="6">
        <f t="shared" si="21"/>
        <v>0</v>
      </c>
      <c r="BU98" s="22"/>
      <c r="BV98" s="6">
        <f t="shared" si="22"/>
        <v>0</v>
      </c>
      <c r="BW98" s="22"/>
    </row>
    <row r="99" spans="1:75" s="15" customFormat="1" hidden="1">
      <c r="A99" s="62"/>
      <c r="B99" s="17" t="s">
        <v>159</v>
      </c>
      <c r="C99"/>
      <c r="D99"/>
      <c r="E99"/>
      <c r="F99"/>
      <c r="G99"/>
      <c r="H99"/>
      <c r="I99"/>
      <c r="J99" s="49"/>
      <c r="K99"/>
      <c r="L99" s="132" t="s">
        <v>202</v>
      </c>
      <c r="M99" s="22"/>
      <c r="N99" s="22">
        <v>0</v>
      </c>
      <c r="O99" s="22"/>
      <c r="P99" s="22">
        <v>0</v>
      </c>
      <c r="Q99" s="22"/>
      <c r="R99" s="6">
        <f t="shared" si="18"/>
        <v>0</v>
      </c>
      <c r="S99" s="22"/>
      <c r="T99" s="22">
        <v>0</v>
      </c>
      <c r="U99" s="22"/>
      <c r="V99" s="22">
        <v>0</v>
      </c>
      <c r="W99" s="22"/>
      <c r="X99" s="22">
        <v>0</v>
      </c>
      <c r="Y99" s="22"/>
      <c r="Z99" s="22">
        <v>0</v>
      </c>
      <c r="AA99" s="22"/>
      <c r="AB99" s="22">
        <v>0</v>
      </c>
      <c r="AC99" s="22"/>
      <c r="AD99" s="22">
        <v>0</v>
      </c>
      <c r="AE99" s="22"/>
      <c r="AF99" s="22">
        <v>0</v>
      </c>
      <c r="AG99" s="22"/>
      <c r="AH99" s="22">
        <v>0</v>
      </c>
      <c r="AI99" s="22"/>
      <c r="AJ99" s="22">
        <v>0</v>
      </c>
      <c r="AK99" s="22"/>
      <c r="AL99" s="22"/>
      <c r="AM99" s="22"/>
      <c r="AN99" s="22">
        <v>0</v>
      </c>
      <c r="AO99" s="22"/>
      <c r="AP99" s="22">
        <v>0</v>
      </c>
      <c r="AQ99" s="22"/>
      <c r="AR99" s="22">
        <v>0</v>
      </c>
      <c r="AS99" s="22"/>
      <c r="AT99" s="22">
        <v>0</v>
      </c>
      <c r="AU99" s="22"/>
      <c r="AV99" s="22">
        <v>0</v>
      </c>
      <c r="AW99" s="22"/>
      <c r="AX99" s="22">
        <v>0</v>
      </c>
      <c r="AY99" s="22"/>
      <c r="AZ99" s="22">
        <v>0</v>
      </c>
      <c r="BA99" s="22"/>
      <c r="BB99" s="22">
        <v>0</v>
      </c>
      <c r="BC99" s="22"/>
      <c r="BD99" s="22">
        <v>0</v>
      </c>
      <c r="BE99" s="22"/>
      <c r="BF99" s="22">
        <v>0</v>
      </c>
      <c r="BG99" s="22"/>
      <c r="BH99" s="22">
        <v>0</v>
      </c>
      <c r="BI99" s="22"/>
      <c r="BJ99" s="22">
        <v>0</v>
      </c>
      <c r="BK99" s="22"/>
      <c r="BL99" s="22">
        <v>0</v>
      </c>
      <c r="BM99" s="22"/>
      <c r="BN99" s="22">
        <f t="shared" si="19"/>
        <v>0</v>
      </c>
      <c r="BO99" s="22"/>
      <c r="BP99" s="22">
        <v>0</v>
      </c>
      <c r="BQ99" s="22"/>
      <c r="BR99" s="22">
        <f t="shared" si="20"/>
        <v>0</v>
      </c>
      <c r="BS99" s="22"/>
      <c r="BT99" s="6">
        <f t="shared" si="21"/>
        <v>0</v>
      </c>
      <c r="BU99" s="22"/>
      <c r="BV99" s="6">
        <f t="shared" si="22"/>
        <v>0</v>
      </c>
      <c r="BW99" s="22"/>
    </row>
    <row r="100" spans="1:75" s="15" customFormat="1" hidden="1">
      <c r="A100" s="62"/>
      <c r="B100" s="17" t="s">
        <v>160</v>
      </c>
      <c r="C100"/>
      <c r="D100"/>
      <c r="E100"/>
      <c r="F100"/>
      <c r="G100"/>
      <c r="H100"/>
      <c r="I100"/>
      <c r="J100" s="49"/>
      <c r="K100"/>
      <c r="L100" s="132" t="s">
        <v>202</v>
      </c>
      <c r="M100" s="22"/>
      <c r="N100" s="22">
        <v>0</v>
      </c>
      <c r="O100" s="22"/>
      <c r="P100" s="22">
        <v>0</v>
      </c>
      <c r="Q100" s="22"/>
      <c r="R100" s="6">
        <f t="shared" si="18"/>
        <v>0</v>
      </c>
      <c r="S100" s="22"/>
      <c r="T100" s="22">
        <v>0</v>
      </c>
      <c r="U100" s="22"/>
      <c r="V100" s="22">
        <v>0</v>
      </c>
      <c r="W100" s="22"/>
      <c r="X100" s="22">
        <v>0</v>
      </c>
      <c r="Y100" s="22"/>
      <c r="Z100" s="22">
        <v>0</v>
      </c>
      <c r="AA100" s="22"/>
      <c r="AB100" s="22">
        <v>0</v>
      </c>
      <c r="AC100" s="22"/>
      <c r="AD100" s="22">
        <v>0</v>
      </c>
      <c r="AE100" s="22"/>
      <c r="AF100" s="22">
        <v>0</v>
      </c>
      <c r="AG100" s="22"/>
      <c r="AH100" s="22">
        <v>0</v>
      </c>
      <c r="AI100" s="22"/>
      <c r="AJ100" s="22">
        <v>0</v>
      </c>
      <c r="AK100" s="22"/>
      <c r="AL100" s="22"/>
      <c r="AM100" s="22"/>
      <c r="AN100" s="22">
        <v>0</v>
      </c>
      <c r="AO100" s="22"/>
      <c r="AP100" s="22">
        <v>0</v>
      </c>
      <c r="AQ100" s="22"/>
      <c r="AR100" s="22">
        <v>0</v>
      </c>
      <c r="AS100" s="22"/>
      <c r="AT100" s="22">
        <v>0</v>
      </c>
      <c r="AU100" s="22"/>
      <c r="AV100" s="22">
        <v>0</v>
      </c>
      <c r="AW100" s="22"/>
      <c r="AX100" s="22">
        <v>0</v>
      </c>
      <c r="AY100" s="22"/>
      <c r="AZ100" s="22">
        <v>0</v>
      </c>
      <c r="BA100" s="22"/>
      <c r="BB100" s="22">
        <v>0</v>
      </c>
      <c r="BC100" s="22"/>
      <c r="BD100" s="22">
        <v>0</v>
      </c>
      <c r="BE100" s="22"/>
      <c r="BF100" s="22">
        <v>0</v>
      </c>
      <c r="BG100" s="22"/>
      <c r="BH100" s="22">
        <v>0</v>
      </c>
      <c r="BI100" s="22"/>
      <c r="BJ100" s="22">
        <v>0</v>
      </c>
      <c r="BK100" s="22"/>
      <c r="BL100" s="22">
        <v>0</v>
      </c>
      <c r="BM100" s="22"/>
      <c r="BN100" s="22">
        <f t="shared" si="19"/>
        <v>0</v>
      </c>
      <c r="BO100" s="22"/>
      <c r="BP100" s="22">
        <v>0</v>
      </c>
      <c r="BQ100" s="22"/>
      <c r="BR100" s="22">
        <f t="shared" si="20"/>
        <v>0</v>
      </c>
      <c r="BS100" s="22"/>
      <c r="BT100" s="6">
        <f t="shared" si="21"/>
        <v>0</v>
      </c>
      <c r="BU100" s="22"/>
      <c r="BV100" s="6">
        <f t="shared" si="22"/>
        <v>0</v>
      </c>
      <c r="BW100" s="22"/>
    </row>
    <row r="101" spans="1:75" s="15" customFormat="1" hidden="1">
      <c r="A101" s="62"/>
      <c r="B101" s="17" t="s">
        <v>63</v>
      </c>
      <c r="C101"/>
      <c r="D101"/>
      <c r="E101"/>
      <c r="F101"/>
      <c r="G101"/>
      <c r="H101"/>
      <c r="I101"/>
      <c r="J101" s="49"/>
      <c r="K101"/>
      <c r="L101" s="132" t="s">
        <v>202</v>
      </c>
      <c r="M101" s="22"/>
      <c r="N101" s="22"/>
      <c r="O101" s="22"/>
      <c r="P101" s="22"/>
      <c r="Q101" s="22"/>
      <c r="R101" s="6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  <c r="BJ101" s="22"/>
      <c r="BK101" s="22"/>
      <c r="BL101" s="22"/>
      <c r="BM101" s="22"/>
      <c r="BN101" s="22"/>
      <c r="BO101" s="22"/>
      <c r="BP101" s="22"/>
      <c r="BQ101" s="22"/>
      <c r="BR101" s="22"/>
      <c r="BS101" s="22"/>
      <c r="BT101" s="6">
        <f t="shared" si="21"/>
        <v>0</v>
      </c>
      <c r="BU101" s="22"/>
      <c r="BV101" s="6">
        <f t="shared" si="22"/>
        <v>0</v>
      </c>
      <c r="BW101" s="22"/>
    </row>
    <row r="102" spans="1:75" s="15" customFormat="1" hidden="1">
      <c r="A102" s="62"/>
      <c r="B102" s="110" t="s">
        <v>175</v>
      </c>
      <c r="C102"/>
      <c r="D102"/>
      <c r="E102"/>
      <c r="F102"/>
      <c r="G102"/>
      <c r="H102"/>
      <c r="I102"/>
      <c r="J102" s="49"/>
      <c r="K102"/>
      <c r="L102" s="132" t="s">
        <v>202</v>
      </c>
      <c r="M102" s="22"/>
      <c r="N102" s="22">
        <v>0</v>
      </c>
      <c r="O102" s="22"/>
      <c r="P102" s="22">
        <v>0</v>
      </c>
      <c r="Q102" s="22"/>
      <c r="R102" s="6">
        <f>+N102+P102</f>
        <v>0</v>
      </c>
      <c r="S102" s="22"/>
      <c r="T102" s="22">
        <v>0</v>
      </c>
      <c r="U102" s="22"/>
      <c r="V102" s="22">
        <v>0</v>
      </c>
      <c r="W102" s="22"/>
      <c r="X102" s="22">
        <v>0</v>
      </c>
      <c r="Y102" s="22"/>
      <c r="Z102" s="22">
        <v>0</v>
      </c>
      <c r="AA102" s="22"/>
      <c r="AB102" s="22">
        <v>0</v>
      </c>
      <c r="AC102" s="22"/>
      <c r="AD102" s="22">
        <v>0</v>
      </c>
      <c r="AE102" s="22"/>
      <c r="AF102" s="22">
        <v>0</v>
      </c>
      <c r="AG102" s="22"/>
      <c r="AH102" s="22">
        <v>0</v>
      </c>
      <c r="AI102" s="22"/>
      <c r="AJ102" s="22">
        <v>0</v>
      </c>
      <c r="AK102" s="22"/>
      <c r="AL102" s="22"/>
      <c r="AM102" s="22"/>
      <c r="AN102" s="22">
        <v>0</v>
      </c>
      <c r="AO102" s="22"/>
      <c r="AP102" s="22">
        <v>0</v>
      </c>
      <c r="AQ102" s="22"/>
      <c r="AR102" s="22">
        <v>0</v>
      </c>
      <c r="AS102" s="22"/>
      <c r="AT102" s="22">
        <v>0</v>
      </c>
      <c r="AU102" s="22"/>
      <c r="AV102" s="22">
        <v>0</v>
      </c>
      <c r="AW102" s="22"/>
      <c r="AX102" s="22">
        <v>0</v>
      </c>
      <c r="AY102" s="22"/>
      <c r="AZ102" s="22">
        <v>0</v>
      </c>
      <c r="BA102" s="22"/>
      <c r="BB102" s="22">
        <v>0</v>
      </c>
      <c r="BC102" s="22"/>
      <c r="BD102" s="22">
        <v>0</v>
      </c>
      <c r="BE102" s="22"/>
      <c r="BF102" s="22">
        <v>0</v>
      </c>
      <c r="BG102" s="22"/>
      <c r="BH102" s="22">
        <v>0</v>
      </c>
      <c r="BI102" s="22"/>
      <c r="BJ102" s="22">
        <v>0</v>
      </c>
      <c r="BK102" s="22"/>
      <c r="BL102" s="22">
        <v>0</v>
      </c>
      <c r="BM102" s="22"/>
      <c r="BN102" s="22">
        <f>SUM(T102:BM102)</f>
        <v>0</v>
      </c>
      <c r="BO102" s="22"/>
      <c r="BP102" s="22">
        <v>0</v>
      </c>
      <c r="BQ102" s="22"/>
      <c r="BR102" s="22">
        <f>+R102-BN102+BP102</f>
        <v>0</v>
      </c>
      <c r="BS102" s="22"/>
      <c r="BT102" s="6">
        <f t="shared" si="21"/>
        <v>0</v>
      </c>
      <c r="BU102" s="22"/>
      <c r="BV102" s="6">
        <f t="shared" si="22"/>
        <v>0</v>
      </c>
      <c r="BW102" s="22"/>
    </row>
    <row r="103" spans="1:75" s="15" customFormat="1" hidden="1">
      <c r="A103" s="62"/>
      <c r="B103" s="110" t="s">
        <v>176</v>
      </c>
      <c r="C103"/>
      <c r="D103"/>
      <c r="E103"/>
      <c r="F103"/>
      <c r="G103"/>
      <c r="H103"/>
      <c r="I103"/>
      <c r="J103" s="49"/>
      <c r="K103"/>
      <c r="L103" s="132" t="s">
        <v>202</v>
      </c>
      <c r="M103" s="22"/>
      <c r="N103" s="22">
        <v>0</v>
      </c>
      <c r="O103" s="22"/>
      <c r="P103" s="22">
        <v>0</v>
      </c>
      <c r="Q103" s="22"/>
      <c r="R103" s="6">
        <f>+N103+P103</f>
        <v>0</v>
      </c>
      <c r="S103" s="22"/>
      <c r="T103" s="22">
        <v>0</v>
      </c>
      <c r="U103" s="22"/>
      <c r="V103" s="22">
        <v>0</v>
      </c>
      <c r="W103" s="22"/>
      <c r="X103" s="22">
        <v>0</v>
      </c>
      <c r="Y103" s="22"/>
      <c r="Z103" s="22">
        <v>0</v>
      </c>
      <c r="AA103" s="22"/>
      <c r="AB103" s="22">
        <v>0</v>
      </c>
      <c r="AC103" s="22"/>
      <c r="AD103" s="22">
        <v>0</v>
      </c>
      <c r="AE103" s="22"/>
      <c r="AF103" s="22">
        <v>0</v>
      </c>
      <c r="AG103" s="22"/>
      <c r="AH103" s="22">
        <v>0</v>
      </c>
      <c r="AI103" s="22"/>
      <c r="AJ103" s="22">
        <v>0</v>
      </c>
      <c r="AK103" s="22"/>
      <c r="AL103" s="22"/>
      <c r="AM103" s="22"/>
      <c r="AN103" s="22">
        <v>0</v>
      </c>
      <c r="AO103" s="22"/>
      <c r="AP103" s="22">
        <v>0</v>
      </c>
      <c r="AQ103" s="22"/>
      <c r="AR103" s="22">
        <v>0</v>
      </c>
      <c r="AS103" s="22"/>
      <c r="AT103" s="22">
        <v>0</v>
      </c>
      <c r="AU103" s="22"/>
      <c r="AV103" s="22">
        <v>0</v>
      </c>
      <c r="AW103" s="22"/>
      <c r="AX103" s="22">
        <v>0</v>
      </c>
      <c r="AY103" s="22"/>
      <c r="AZ103" s="22">
        <v>0</v>
      </c>
      <c r="BA103" s="22"/>
      <c r="BB103" s="22">
        <v>0</v>
      </c>
      <c r="BC103" s="22"/>
      <c r="BD103" s="22">
        <v>0</v>
      </c>
      <c r="BE103" s="22"/>
      <c r="BF103" s="22">
        <v>0</v>
      </c>
      <c r="BG103" s="22"/>
      <c r="BH103" s="22">
        <v>0</v>
      </c>
      <c r="BI103" s="22"/>
      <c r="BJ103" s="22">
        <v>0</v>
      </c>
      <c r="BK103" s="22"/>
      <c r="BL103" s="22">
        <v>0</v>
      </c>
      <c r="BM103" s="22"/>
      <c r="BN103" s="22">
        <f>SUM(T103:BM103)</f>
        <v>0</v>
      </c>
      <c r="BO103" s="22"/>
      <c r="BP103" s="22">
        <v>0</v>
      </c>
      <c r="BQ103" s="22"/>
      <c r="BR103" s="22">
        <f>+R103-BN103+BP103</f>
        <v>0</v>
      </c>
      <c r="BS103" s="22"/>
      <c r="BT103" s="6">
        <f t="shared" si="21"/>
        <v>0</v>
      </c>
      <c r="BU103" s="22"/>
      <c r="BV103" s="6">
        <f t="shared" si="22"/>
        <v>0</v>
      </c>
      <c r="BW103" s="22"/>
    </row>
    <row r="104" spans="1:75" s="15" customFormat="1" hidden="1">
      <c r="A104" s="62"/>
      <c r="B104" s="110" t="s">
        <v>177</v>
      </c>
      <c r="C104"/>
      <c r="D104"/>
      <c r="E104"/>
      <c r="F104"/>
      <c r="G104"/>
      <c r="H104"/>
      <c r="I104"/>
      <c r="J104" s="49"/>
      <c r="K104"/>
      <c r="L104" s="132" t="s">
        <v>202</v>
      </c>
      <c r="M104" s="22"/>
      <c r="N104" s="22">
        <v>0</v>
      </c>
      <c r="O104" s="22"/>
      <c r="P104" s="22">
        <v>0</v>
      </c>
      <c r="Q104" s="22"/>
      <c r="R104" s="6">
        <f>+N104+P104</f>
        <v>0</v>
      </c>
      <c r="S104" s="22"/>
      <c r="T104" s="22">
        <v>0</v>
      </c>
      <c r="U104" s="22"/>
      <c r="V104" s="22">
        <v>0</v>
      </c>
      <c r="W104" s="22"/>
      <c r="X104" s="22">
        <v>0</v>
      </c>
      <c r="Y104" s="22"/>
      <c r="Z104" s="22">
        <v>0</v>
      </c>
      <c r="AA104" s="22"/>
      <c r="AB104" s="22">
        <v>0</v>
      </c>
      <c r="AC104" s="22"/>
      <c r="AD104" s="22">
        <v>0</v>
      </c>
      <c r="AE104" s="22"/>
      <c r="AF104" s="22">
        <v>0</v>
      </c>
      <c r="AG104" s="22"/>
      <c r="AH104" s="22">
        <v>0</v>
      </c>
      <c r="AI104" s="22"/>
      <c r="AJ104" s="22">
        <v>0</v>
      </c>
      <c r="AK104" s="22"/>
      <c r="AL104" s="22"/>
      <c r="AM104" s="22"/>
      <c r="AN104" s="22">
        <v>0</v>
      </c>
      <c r="AO104" s="22"/>
      <c r="AP104" s="22">
        <v>0</v>
      </c>
      <c r="AQ104" s="22"/>
      <c r="AR104" s="22">
        <v>0</v>
      </c>
      <c r="AS104" s="22"/>
      <c r="AT104" s="22">
        <v>0</v>
      </c>
      <c r="AU104" s="22"/>
      <c r="AV104" s="22">
        <v>0</v>
      </c>
      <c r="AW104" s="22"/>
      <c r="AX104" s="22">
        <v>0</v>
      </c>
      <c r="AY104" s="22"/>
      <c r="AZ104" s="22">
        <v>0</v>
      </c>
      <c r="BA104" s="22"/>
      <c r="BB104" s="22">
        <v>0</v>
      </c>
      <c r="BC104" s="22"/>
      <c r="BD104" s="22">
        <v>0</v>
      </c>
      <c r="BE104" s="22"/>
      <c r="BF104" s="22">
        <v>0</v>
      </c>
      <c r="BG104" s="22"/>
      <c r="BH104" s="22">
        <v>0</v>
      </c>
      <c r="BI104" s="22"/>
      <c r="BJ104" s="22">
        <v>0</v>
      </c>
      <c r="BK104" s="22"/>
      <c r="BL104" s="22">
        <v>0</v>
      </c>
      <c r="BM104" s="22"/>
      <c r="BN104" s="22">
        <f>SUM(T104:BM104)</f>
        <v>0</v>
      </c>
      <c r="BO104" s="22"/>
      <c r="BP104" s="22">
        <v>0</v>
      </c>
      <c r="BQ104" s="22"/>
      <c r="BR104" s="22">
        <f>+R104-BN104+BP104</f>
        <v>0</v>
      </c>
      <c r="BS104" s="22"/>
      <c r="BT104" s="6">
        <f t="shared" si="21"/>
        <v>0</v>
      </c>
      <c r="BU104" s="22"/>
      <c r="BV104" s="6">
        <f t="shared" si="22"/>
        <v>0</v>
      </c>
      <c r="BW104" s="22"/>
    </row>
    <row r="105" spans="1:75" s="15" customFormat="1" hidden="1">
      <c r="A105" s="62"/>
      <c r="B105" s="17" t="s">
        <v>64</v>
      </c>
      <c r="C105"/>
      <c r="D105"/>
      <c r="E105"/>
      <c r="F105"/>
      <c r="G105"/>
      <c r="H105"/>
      <c r="I105"/>
      <c r="J105" s="49"/>
      <c r="K105"/>
      <c r="L105" s="132" t="s">
        <v>202</v>
      </c>
      <c r="M105" s="22"/>
      <c r="N105" s="22"/>
      <c r="O105" s="22"/>
      <c r="P105" s="22"/>
      <c r="Q105" s="22"/>
      <c r="R105" s="6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  <c r="BJ105" s="22"/>
      <c r="BK105" s="22"/>
      <c r="BL105" s="22"/>
      <c r="BM105" s="22"/>
      <c r="BN105" s="22"/>
      <c r="BO105" s="22"/>
      <c r="BP105" s="22"/>
      <c r="BQ105" s="22"/>
      <c r="BR105" s="22"/>
      <c r="BS105" s="22"/>
      <c r="BT105" s="6">
        <f t="shared" si="21"/>
        <v>0</v>
      </c>
      <c r="BU105" s="22"/>
      <c r="BV105" s="6">
        <f t="shared" si="22"/>
        <v>0</v>
      </c>
      <c r="BW105" s="22"/>
    </row>
    <row r="106" spans="1:75" s="15" customFormat="1" hidden="1">
      <c r="A106" s="62"/>
      <c r="B106" s="110" t="s">
        <v>175</v>
      </c>
      <c r="C106"/>
      <c r="D106"/>
      <c r="E106"/>
      <c r="F106"/>
      <c r="G106"/>
      <c r="H106"/>
      <c r="I106"/>
      <c r="J106" s="49"/>
      <c r="K106"/>
      <c r="L106" s="132" t="s">
        <v>202</v>
      </c>
      <c r="M106" s="22"/>
      <c r="N106" s="22">
        <v>0</v>
      </c>
      <c r="O106" s="22"/>
      <c r="P106" s="22">
        <v>0</v>
      </c>
      <c r="Q106" s="22"/>
      <c r="R106" s="6">
        <f t="shared" ref="R106:R115" si="23">+N106+P106</f>
        <v>0</v>
      </c>
      <c r="S106" s="22"/>
      <c r="T106" s="22">
        <v>0</v>
      </c>
      <c r="U106" s="22"/>
      <c r="V106" s="22">
        <v>0</v>
      </c>
      <c r="W106" s="22"/>
      <c r="X106" s="22">
        <v>0</v>
      </c>
      <c r="Y106" s="22"/>
      <c r="Z106" s="22">
        <v>0</v>
      </c>
      <c r="AA106" s="22"/>
      <c r="AB106" s="22">
        <v>0</v>
      </c>
      <c r="AC106" s="22"/>
      <c r="AD106" s="22">
        <v>0</v>
      </c>
      <c r="AE106" s="22"/>
      <c r="AF106" s="22">
        <v>0</v>
      </c>
      <c r="AG106" s="22"/>
      <c r="AH106" s="22">
        <v>0</v>
      </c>
      <c r="AI106" s="22"/>
      <c r="AJ106" s="22">
        <v>0</v>
      </c>
      <c r="AK106" s="22"/>
      <c r="AL106" s="22"/>
      <c r="AM106" s="22"/>
      <c r="AN106" s="22">
        <v>0</v>
      </c>
      <c r="AO106" s="22"/>
      <c r="AP106" s="22">
        <v>0</v>
      </c>
      <c r="AQ106" s="22"/>
      <c r="AR106" s="22">
        <v>0</v>
      </c>
      <c r="AS106" s="22"/>
      <c r="AT106" s="22">
        <v>0</v>
      </c>
      <c r="AU106" s="22"/>
      <c r="AV106" s="22">
        <v>0</v>
      </c>
      <c r="AW106" s="22"/>
      <c r="AX106" s="22">
        <v>0</v>
      </c>
      <c r="AY106" s="22"/>
      <c r="AZ106" s="22">
        <v>0</v>
      </c>
      <c r="BA106" s="22"/>
      <c r="BB106" s="22">
        <v>0</v>
      </c>
      <c r="BC106" s="22"/>
      <c r="BD106" s="22">
        <v>0</v>
      </c>
      <c r="BE106" s="22"/>
      <c r="BF106" s="22">
        <v>0</v>
      </c>
      <c r="BG106" s="22"/>
      <c r="BH106" s="22">
        <v>0</v>
      </c>
      <c r="BI106" s="22"/>
      <c r="BJ106" s="22">
        <v>0</v>
      </c>
      <c r="BK106" s="22"/>
      <c r="BL106" s="22">
        <v>0</v>
      </c>
      <c r="BM106" s="22"/>
      <c r="BN106" s="22">
        <f t="shared" ref="BN106:BN115" si="24">SUM(T106:BM106)</f>
        <v>0</v>
      </c>
      <c r="BO106" s="22"/>
      <c r="BP106" s="22">
        <v>0</v>
      </c>
      <c r="BQ106" s="22"/>
      <c r="BR106" s="22">
        <f t="shared" ref="BR106:BR115" si="25">+R106-BN106+BP106</f>
        <v>0</v>
      </c>
      <c r="BS106" s="22"/>
      <c r="BT106" s="6">
        <f t="shared" si="21"/>
        <v>0</v>
      </c>
      <c r="BU106" s="22"/>
      <c r="BV106" s="6">
        <f t="shared" si="22"/>
        <v>0</v>
      </c>
      <c r="BW106" s="22"/>
    </row>
    <row r="107" spans="1:75" s="15" customFormat="1" hidden="1">
      <c r="A107" s="62"/>
      <c r="B107" s="110" t="s">
        <v>176</v>
      </c>
      <c r="C107"/>
      <c r="D107"/>
      <c r="E107"/>
      <c r="F107"/>
      <c r="G107"/>
      <c r="H107"/>
      <c r="I107"/>
      <c r="J107" s="49"/>
      <c r="K107"/>
      <c r="L107" s="132" t="s">
        <v>202</v>
      </c>
      <c r="M107" s="22"/>
      <c r="N107" s="22">
        <v>0</v>
      </c>
      <c r="O107" s="22"/>
      <c r="P107" s="22">
        <v>0</v>
      </c>
      <c r="Q107" s="22"/>
      <c r="R107" s="6">
        <f t="shared" si="23"/>
        <v>0</v>
      </c>
      <c r="S107" s="22"/>
      <c r="T107" s="22">
        <v>0</v>
      </c>
      <c r="U107" s="22"/>
      <c r="V107" s="22">
        <v>0</v>
      </c>
      <c r="W107" s="22"/>
      <c r="X107" s="22">
        <v>0</v>
      </c>
      <c r="Y107" s="22"/>
      <c r="Z107" s="22">
        <v>0</v>
      </c>
      <c r="AA107" s="22"/>
      <c r="AB107" s="22">
        <v>0</v>
      </c>
      <c r="AC107" s="22"/>
      <c r="AD107" s="22">
        <v>0</v>
      </c>
      <c r="AE107" s="22"/>
      <c r="AF107" s="22">
        <v>0</v>
      </c>
      <c r="AG107" s="22"/>
      <c r="AH107" s="22">
        <v>0</v>
      </c>
      <c r="AI107" s="22"/>
      <c r="AJ107" s="22">
        <v>0</v>
      </c>
      <c r="AK107" s="22"/>
      <c r="AL107" s="22"/>
      <c r="AM107" s="22"/>
      <c r="AN107" s="22">
        <v>0</v>
      </c>
      <c r="AO107" s="22"/>
      <c r="AP107" s="22">
        <v>0</v>
      </c>
      <c r="AQ107" s="22"/>
      <c r="AR107" s="22">
        <v>0</v>
      </c>
      <c r="AS107" s="22"/>
      <c r="AT107" s="22">
        <v>0</v>
      </c>
      <c r="AU107" s="22"/>
      <c r="AV107" s="22">
        <v>0</v>
      </c>
      <c r="AW107" s="22"/>
      <c r="AX107" s="22">
        <v>0</v>
      </c>
      <c r="AY107" s="22"/>
      <c r="AZ107" s="22">
        <v>0</v>
      </c>
      <c r="BA107" s="22"/>
      <c r="BB107" s="22">
        <v>0</v>
      </c>
      <c r="BC107" s="22"/>
      <c r="BD107" s="22">
        <v>0</v>
      </c>
      <c r="BE107" s="22"/>
      <c r="BF107" s="22">
        <v>0</v>
      </c>
      <c r="BG107" s="22"/>
      <c r="BH107" s="22">
        <v>0</v>
      </c>
      <c r="BI107" s="22"/>
      <c r="BJ107" s="22">
        <v>0</v>
      </c>
      <c r="BK107" s="22"/>
      <c r="BL107" s="22">
        <v>0</v>
      </c>
      <c r="BM107" s="22"/>
      <c r="BN107" s="22">
        <f t="shared" si="24"/>
        <v>0</v>
      </c>
      <c r="BO107" s="22"/>
      <c r="BP107" s="22">
        <v>0</v>
      </c>
      <c r="BQ107" s="22"/>
      <c r="BR107" s="22">
        <f t="shared" si="25"/>
        <v>0</v>
      </c>
      <c r="BS107" s="22"/>
      <c r="BT107" s="6">
        <f t="shared" si="21"/>
        <v>0</v>
      </c>
      <c r="BU107" s="22"/>
      <c r="BV107" s="6">
        <f t="shared" si="22"/>
        <v>0</v>
      </c>
      <c r="BW107" s="22"/>
    </row>
    <row r="108" spans="1:75" s="15" customFormat="1" hidden="1">
      <c r="A108" s="62"/>
      <c r="B108" s="110" t="s">
        <v>177</v>
      </c>
      <c r="C108"/>
      <c r="D108"/>
      <c r="E108"/>
      <c r="F108"/>
      <c r="G108"/>
      <c r="H108"/>
      <c r="I108"/>
      <c r="J108" s="49"/>
      <c r="K108"/>
      <c r="L108" s="132" t="s">
        <v>202</v>
      </c>
      <c r="M108" s="22"/>
      <c r="N108" s="22">
        <v>0</v>
      </c>
      <c r="O108" s="22"/>
      <c r="P108" s="22">
        <v>0</v>
      </c>
      <c r="Q108" s="22"/>
      <c r="R108" s="6">
        <f t="shared" si="23"/>
        <v>0</v>
      </c>
      <c r="S108" s="22"/>
      <c r="T108" s="22">
        <v>0</v>
      </c>
      <c r="U108" s="22"/>
      <c r="V108" s="22">
        <v>0</v>
      </c>
      <c r="W108" s="22"/>
      <c r="X108" s="22">
        <v>0</v>
      </c>
      <c r="Y108" s="22"/>
      <c r="Z108" s="22">
        <v>0</v>
      </c>
      <c r="AA108" s="22"/>
      <c r="AB108" s="22">
        <v>0</v>
      </c>
      <c r="AC108" s="22"/>
      <c r="AD108" s="22">
        <v>0</v>
      </c>
      <c r="AE108" s="22"/>
      <c r="AF108" s="22">
        <v>0</v>
      </c>
      <c r="AG108" s="22"/>
      <c r="AH108" s="22">
        <v>0</v>
      </c>
      <c r="AI108" s="22"/>
      <c r="AJ108" s="22">
        <v>0</v>
      </c>
      <c r="AK108" s="22"/>
      <c r="AL108" s="22"/>
      <c r="AM108" s="22"/>
      <c r="AN108" s="22">
        <v>0</v>
      </c>
      <c r="AO108" s="22"/>
      <c r="AP108" s="22">
        <v>0</v>
      </c>
      <c r="AQ108" s="22"/>
      <c r="AR108" s="22">
        <v>0</v>
      </c>
      <c r="AS108" s="22"/>
      <c r="AT108" s="22">
        <v>0</v>
      </c>
      <c r="AU108" s="22"/>
      <c r="AV108" s="22">
        <v>0</v>
      </c>
      <c r="AW108" s="22"/>
      <c r="AX108" s="22">
        <v>0</v>
      </c>
      <c r="AY108" s="22"/>
      <c r="AZ108" s="22">
        <v>0</v>
      </c>
      <c r="BA108" s="22"/>
      <c r="BB108" s="22">
        <v>0</v>
      </c>
      <c r="BC108" s="22"/>
      <c r="BD108" s="22">
        <v>0</v>
      </c>
      <c r="BE108" s="22"/>
      <c r="BF108" s="22">
        <v>0</v>
      </c>
      <c r="BG108" s="22"/>
      <c r="BH108" s="22">
        <v>0</v>
      </c>
      <c r="BI108" s="22"/>
      <c r="BJ108" s="22">
        <v>0</v>
      </c>
      <c r="BK108" s="22"/>
      <c r="BL108" s="22">
        <v>0</v>
      </c>
      <c r="BM108" s="22"/>
      <c r="BN108" s="22">
        <f t="shared" si="24"/>
        <v>0</v>
      </c>
      <c r="BO108" s="22"/>
      <c r="BP108" s="22">
        <v>0</v>
      </c>
      <c r="BQ108" s="22"/>
      <c r="BR108" s="22">
        <f t="shared" si="25"/>
        <v>0</v>
      </c>
      <c r="BS108" s="22"/>
      <c r="BT108" s="6">
        <f t="shared" si="21"/>
        <v>0</v>
      </c>
      <c r="BU108" s="22"/>
      <c r="BV108" s="6">
        <f t="shared" si="22"/>
        <v>0</v>
      </c>
      <c r="BW108" s="22"/>
    </row>
    <row r="109" spans="1:75" s="15" customFormat="1" hidden="1">
      <c r="A109" s="62"/>
      <c r="B109" s="17" t="s">
        <v>19</v>
      </c>
      <c r="C109"/>
      <c r="D109"/>
      <c r="E109"/>
      <c r="F109"/>
      <c r="G109"/>
      <c r="H109"/>
      <c r="I109"/>
      <c r="J109" s="49"/>
      <c r="K109"/>
      <c r="L109" s="132" t="s">
        <v>202</v>
      </c>
      <c r="M109" s="22"/>
      <c r="N109" s="22">
        <v>0</v>
      </c>
      <c r="O109" s="22"/>
      <c r="P109" s="22">
        <v>0</v>
      </c>
      <c r="Q109" s="22"/>
      <c r="R109" s="6">
        <f t="shared" si="23"/>
        <v>0</v>
      </c>
      <c r="S109" s="22"/>
      <c r="T109" s="22">
        <v>0</v>
      </c>
      <c r="U109" s="22"/>
      <c r="V109" s="22">
        <v>0</v>
      </c>
      <c r="W109" s="22"/>
      <c r="X109" s="22">
        <v>0</v>
      </c>
      <c r="Y109" s="22"/>
      <c r="Z109" s="22">
        <v>0</v>
      </c>
      <c r="AA109" s="22"/>
      <c r="AB109" s="22">
        <v>0</v>
      </c>
      <c r="AC109" s="22"/>
      <c r="AD109" s="22">
        <v>0</v>
      </c>
      <c r="AE109" s="22"/>
      <c r="AF109" s="22">
        <v>0</v>
      </c>
      <c r="AG109" s="22"/>
      <c r="AH109" s="22">
        <v>0</v>
      </c>
      <c r="AI109" s="22"/>
      <c r="AJ109" s="22">
        <v>0</v>
      </c>
      <c r="AK109" s="22"/>
      <c r="AL109" s="22"/>
      <c r="AM109" s="22"/>
      <c r="AN109" s="22">
        <v>0</v>
      </c>
      <c r="AO109" s="22"/>
      <c r="AP109" s="22">
        <v>0</v>
      </c>
      <c r="AQ109" s="22"/>
      <c r="AR109" s="22">
        <v>0</v>
      </c>
      <c r="AS109" s="22"/>
      <c r="AT109" s="22">
        <v>0</v>
      </c>
      <c r="AU109" s="22"/>
      <c r="AV109" s="22">
        <v>0</v>
      </c>
      <c r="AW109" s="22"/>
      <c r="AX109" s="22">
        <v>0</v>
      </c>
      <c r="AY109" s="22"/>
      <c r="AZ109" s="22">
        <v>0</v>
      </c>
      <c r="BA109" s="22"/>
      <c r="BB109" s="22">
        <v>0</v>
      </c>
      <c r="BC109" s="22"/>
      <c r="BD109" s="22">
        <v>0</v>
      </c>
      <c r="BE109" s="22"/>
      <c r="BF109" s="22">
        <v>0</v>
      </c>
      <c r="BG109" s="22"/>
      <c r="BH109" s="22">
        <v>0</v>
      </c>
      <c r="BI109" s="22"/>
      <c r="BJ109" s="22">
        <v>0</v>
      </c>
      <c r="BK109" s="22"/>
      <c r="BL109" s="22">
        <v>0</v>
      </c>
      <c r="BM109" s="22"/>
      <c r="BN109" s="22">
        <f t="shared" si="24"/>
        <v>0</v>
      </c>
      <c r="BO109" s="22"/>
      <c r="BP109" s="22">
        <v>0</v>
      </c>
      <c r="BQ109" s="22"/>
      <c r="BR109" s="22">
        <f t="shared" si="25"/>
        <v>0</v>
      </c>
      <c r="BS109" s="22"/>
      <c r="BT109" s="6">
        <f t="shared" si="21"/>
        <v>0</v>
      </c>
      <c r="BU109" s="22"/>
      <c r="BV109" s="6">
        <f t="shared" si="22"/>
        <v>0</v>
      </c>
      <c r="BW109" s="22"/>
    </row>
    <row r="110" spans="1:75" s="15" customFormat="1" hidden="1">
      <c r="A110" s="62"/>
      <c r="B110" s="17" t="s">
        <v>66</v>
      </c>
      <c r="C110"/>
      <c r="D110"/>
      <c r="E110"/>
      <c r="F110"/>
      <c r="G110"/>
      <c r="H110"/>
      <c r="I110"/>
      <c r="J110" s="49"/>
      <c r="K110"/>
      <c r="L110" s="132" t="s">
        <v>202</v>
      </c>
      <c r="M110" s="22"/>
      <c r="N110" s="22">
        <v>0</v>
      </c>
      <c r="O110" s="22"/>
      <c r="P110" s="22">
        <v>0</v>
      </c>
      <c r="Q110" s="22"/>
      <c r="R110" s="6">
        <f t="shared" si="23"/>
        <v>0</v>
      </c>
      <c r="S110" s="22"/>
      <c r="T110" s="22">
        <v>0</v>
      </c>
      <c r="U110" s="22"/>
      <c r="V110" s="22">
        <v>0</v>
      </c>
      <c r="W110" s="22"/>
      <c r="X110" s="22">
        <v>0</v>
      </c>
      <c r="Y110" s="22"/>
      <c r="Z110" s="22">
        <v>0</v>
      </c>
      <c r="AA110" s="22"/>
      <c r="AB110" s="22">
        <v>0</v>
      </c>
      <c r="AC110" s="22"/>
      <c r="AD110" s="22">
        <v>0</v>
      </c>
      <c r="AE110" s="22"/>
      <c r="AF110" s="22">
        <v>0</v>
      </c>
      <c r="AG110" s="22"/>
      <c r="AH110" s="22">
        <v>0</v>
      </c>
      <c r="AI110" s="22"/>
      <c r="AJ110" s="22">
        <v>0</v>
      </c>
      <c r="AK110" s="22"/>
      <c r="AL110" s="22"/>
      <c r="AM110" s="22"/>
      <c r="AN110" s="22">
        <v>0</v>
      </c>
      <c r="AO110" s="22"/>
      <c r="AP110" s="22">
        <v>0</v>
      </c>
      <c r="AQ110" s="22"/>
      <c r="AR110" s="22">
        <v>0</v>
      </c>
      <c r="AS110" s="22"/>
      <c r="AT110" s="22">
        <v>0</v>
      </c>
      <c r="AU110" s="22"/>
      <c r="AV110" s="22">
        <v>0</v>
      </c>
      <c r="AW110" s="22"/>
      <c r="AX110" s="22">
        <v>0</v>
      </c>
      <c r="AY110" s="22"/>
      <c r="AZ110" s="22">
        <v>0</v>
      </c>
      <c r="BA110" s="22"/>
      <c r="BB110" s="22">
        <v>0</v>
      </c>
      <c r="BC110" s="22"/>
      <c r="BD110" s="22">
        <v>0</v>
      </c>
      <c r="BE110" s="22"/>
      <c r="BF110" s="22">
        <v>0</v>
      </c>
      <c r="BG110" s="22"/>
      <c r="BH110" s="22">
        <v>0</v>
      </c>
      <c r="BI110" s="22"/>
      <c r="BJ110" s="22">
        <v>0</v>
      </c>
      <c r="BK110" s="22"/>
      <c r="BL110" s="22">
        <v>0</v>
      </c>
      <c r="BM110" s="22"/>
      <c r="BN110" s="22">
        <f t="shared" si="24"/>
        <v>0</v>
      </c>
      <c r="BO110" s="22"/>
      <c r="BP110" s="22">
        <v>0</v>
      </c>
      <c r="BQ110" s="22"/>
      <c r="BR110" s="22">
        <f t="shared" si="25"/>
        <v>0</v>
      </c>
      <c r="BS110" s="22"/>
      <c r="BT110" s="6">
        <f t="shared" si="21"/>
        <v>0</v>
      </c>
      <c r="BU110" s="22"/>
      <c r="BV110" s="6">
        <f t="shared" si="22"/>
        <v>0</v>
      </c>
      <c r="BW110" s="22"/>
    </row>
    <row r="111" spans="1:75" s="15" customFormat="1" hidden="1">
      <c r="A111" s="62"/>
      <c r="B111" s="17" t="s">
        <v>65</v>
      </c>
      <c r="C111"/>
      <c r="D111"/>
      <c r="E111"/>
      <c r="F111"/>
      <c r="G111"/>
      <c r="H111"/>
      <c r="I111"/>
      <c r="J111" s="49"/>
      <c r="K111"/>
      <c r="L111" s="132" t="s">
        <v>202</v>
      </c>
      <c r="M111" s="22"/>
      <c r="N111" s="22">
        <v>0</v>
      </c>
      <c r="O111" s="22"/>
      <c r="P111" s="22">
        <v>0</v>
      </c>
      <c r="Q111" s="22"/>
      <c r="R111" s="6">
        <f t="shared" si="23"/>
        <v>0</v>
      </c>
      <c r="S111" s="22"/>
      <c r="T111" s="22">
        <v>0</v>
      </c>
      <c r="U111" s="22"/>
      <c r="V111" s="22">
        <v>0</v>
      </c>
      <c r="W111" s="22"/>
      <c r="X111" s="22">
        <v>0</v>
      </c>
      <c r="Y111" s="22"/>
      <c r="Z111" s="22">
        <v>0</v>
      </c>
      <c r="AA111" s="22"/>
      <c r="AB111" s="22">
        <v>0</v>
      </c>
      <c r="AC111" s="22"/>
      <c r="AD111" s="22">
        <v>0</v>
      </c>
      <c r="AE111" s="22"/>
      <c r="AF111" s="22">
        <v>0</v>
      </c>
      <c r="AG111" s="22"/>
      <c r="AH111" s="22">
        <v>0</v>
      </c>
      <c r="AI111" s="22"/>
      <c r="AJ111" s="22">
        <v>0</v>
      </c>
      <c r="AK111" s="22"/>
      <c r="AL111" s="22"/>
      <c r="AM111" s="22"/>
      <c r="AN111" s="22">
        <v>0</v>
      </c>
      <c r="AO111" s="22"/>
      <c r="AP111" s="22">
        <v>0</v>
      </c>
      <c r="AQ111" s="22"/>
      <c r="AR111" s="22">
        <v>0</v>
      </c>
      <c r="AS111" s="22"/>
      <c r="AT111" s="22">
        <v>0</v>
      </c>
      <c r="AU111" s="22"/>
      <c r="AV111" s="22">
        <v>0</v>
      </c>
      <c r="AW111" s="22"/>
      <c r="AX111" s="22">
        <v>0</v>
      </c>
      <c r="AY111" s="22"/>
      <c r="AZ111" s="22">
        <v>0</v>
      </c>
      <c r="BA111" s="22"/>
      <c r="BB111" s="22">
        <v>0</v>
      </c>
      <c r="BC111" s="22"/>
      <c r="BD111" s="22">
        <v>0</v>
      </c>
      <c r="BE111" s="22"/>
      <c r="BF111" s="22">
        <v>0</v>
      </c>
      <c r="BG111" s="22"/>
      <c r="BH111" s="22">
        <v>0</v>
      </c>
      <c r="BI111" s="22"/>
      <c r="BJ111" s="22">
        <v>0</v>
      </c>
      <c r="BK111" s="22"/>
      <c r="BL111" s="22">
        <v>0</v>
      </c>
      <c r="BM111" s="22"/>
      <c r="BN111" s="22">
        <f t="shared" si="24"/>
        <v>0</v>
      </c>
      <c r="BO111" s="22"/>
      <c r="BP111" s="22">
        <v>0</v>
      </c>
      <c r="BQ111" s="22"/>
      <c r="BR111" s="22">
        <f t="shared" si="25"/>
        <v>0</v>
      </c>
      <c r="BS111" s="22"/>
      <c r="BT111" s="6">
        <f t="shared" si="21"/>
        <v>0</v>
      </c>
      <c r="BU111" s="22"/>
      <c r="BV111" s="6">
        <f t="shared" si="22"/>
        <v>0</v>
      </c>
      <c r="BW111" s="22"/>
    </row>
    <row r="112" spans="1:75" s="15" customFormat="1" hidden="1">
      <c r="A112" s="62"/>
      <c r="B112" s="17" t="s">
        <v>161</v>
      </c>
      <c r="C112"/>
      <c r="D112"/>
      <c r="E112"/>
      <c r="F112"/>
      <c r="G112"/>
      <c r="H112"/>
      <c r="I112"/>
      <c r="J112" s="49"/>
      <c r="K112"/>
      <c r="L112" s="132" t="s">
        <v>202</v>
      </c>
      <c r="M112" s="22"/>
      <c r="N112" s="22">
        <v>0</v>
      </c>
      <c r="O112" s="22"/>
      <c r="P112" s="22">
        <v>0</v>
      </c>
      <c r="Q112" s="22"/>
      <c r="R112" s="6">
        <f t="shared" si="23"/>
        <v>0</v>
      </c>
      <c r="S112" s="22"/>
      <c r="T112" s="22">
        <v>0</v>
      </c>
      <c r="U112" s="22"/>
      <c r="V112" s="22">
        <v>0</v>
      </c>
      <c r="W112" s="22"/>
      <c r="X112" s="22">
        <v>0</v>
      </c>
      <c r="Y112" s="22"/>
      <c r="Z112" s="22">
        <v>0</v>
      </c>
      <c r="AA112" s="22"/>
      <c r="AB112" s="22">
        <v>0</v>
      </c>
      <c r="AC112" s="22"/>
      <c r="AD112" s="22">
        <v>0</v>
      </c>
      <c r="AE112" s="22"/>
      <c r="AF112" s="22">
        <v>0</v>
      </c>
      <c r="AG112" s="22"/>
      <c r="AH112" s="22">
        <v>0</v>
      </c>
      <c r="AI112" s="22"/>
      <c r="AJ112" s="22">
        <v>0</v>
      </c>
      <c r="AK112" s="22"/>
      <c r="AL112" s="22"/>
      <c r="AM112" s="22"/>
      <c r="AN112" s="22">
        <v>0</v>
      </c>
      <c r="AO112" s="22"/>
      <c r="AP112" s="22">
        <v>0</v>
      </c>
      <c r="AQ112" s="22"/>
      <c r="AR112" s="22">
        <v>0</v>
      </c>
      <c r="AS112" s="22"/>
      <c r="AT112" s="22">
        <v>0</v>
      </c>
      <c r="AU112" s="22"/>
      <c r="AV112" s="22">
        <v>0</v>
      </c>
      <c r="AW112" s="22"/>
      <c r="AX112" s="22">
        <v>0</v>
      </c>
      <c r="AY112" s="22"/>
      <c r="AZ112" s="22">
        <v>0</v>
      </c>
      <c r="BA112" s="22"/>
      <c r="BB112" s="22">
        <v>0</v>
      </c>
      <c r="BC112" s="22"/>
      <c r="BD112" s="22">
        <v>0</v>
      </c>
      <c r="BE112" s="22"/>
      <c r="BF112" s="22">
        <v>0</v>
      </c>
      <c r="BG112" s="22"/>
      <c r="BH112" s="22">
        <v>0</v>
      </c>
      <c r="BI112" s="22"/>
      <c r="BJ112" s="22">
        <v>0</v>
      </c>
      <c r="BK112" s="22"/>
      <c r="BL112" s="22">
        <v>0</v>
      </c>
      <c r="BM112" s="22"/>
      <c r="BN112" s="22">
        <f t="shared" si="24"/>
        <v>0</v>
      </c>
      <c r="BO112" s="22"/>
      <c r="BP112" s="22">
        <v>0</v>
      </c>
      <c r="BQ112" s="22"/>
      <c r="BR112" s="22">
        <f t="shared" si="25"/>
        <v>0</v>
      </c>
      <c r="BS112" s="22"/>
      <c r="BT112" s="6">
        <f t="shared" si="21"/>
        <v>0</v>
      </c>
      <c r="BU112" s="22"/>
      <c r="BV112" s="6">
        <f t="shared" si="22"/>
        <v>0</v>
      </c>
      <c r="BW112" s="22"/>
    </row>
    <row r="113" spans="1:75" s="15" customFormat="1" hidden="1">
      <c r="A113" s="62"/>
      <c r="B113" s="17" t="s">
        <v>162</v>
      </c>
      <c r="C113"/>
      <c r="D113"/>
      <c r="E113"/>
      <c r="F113"/>
      <c r="G113"/>
      <c r="H113"/>
      <c r="I113"/>
      <c r="J113" s="49"/>
      <c r="K113"/>
      <c r="L113" s="132" t="s">
        <v>202</v>
      </c>
      <c r="M113" s="22"/>
      <c r="N113" s="22">
        <v>0</v>
      </c>
      <c r="O113" s="22"/>
      <c r="P113" s="22">
        <v>0</v>
      </c>
      <c r="Q113" s="22"/>
      <c r="R113" s="6">
        <f t="shared" si="23"/>
        <v>0</v>
      </c>
      <c r="S113" s="22"/>
      <c r="T113" s="22">
        <v>0</v>
      </c>
      <c r="U113" s="22"/>
      <c r="V113" s="22">
        <v>0</v>
      </c>
      <c r="W113" s="22"/>
      <c r="X113" s="22">
        <v>0</v>
      </c>
      <c r="Y113" s="22"/>
      <c r="Z113" s="22">
        <v>0</v>
      </c>
      <c r="AA113" s="22"/>
      <c r="AB113" s="22">
        <v>0</v>
      </c>
      <c r="AC113" s="22"/>
      <c r="AD113" s="22">
        <v>0</v>
      </c>
      <c r="AE113" s="22"/>
      <c r="AF113" s="22">
        <v>0</v>
      </c>
      <c r="AG113" s="22"/>
      <c r="AH113" s="22">
        <v>0</v>
      </c>
      <c r="AI113" s="22"/>
      <c r="AJ113" s="22">
        <v>0</v>
      </c>
      <c r="AK113" s="22"/>
      <c r="AL113" s="22"/>
      <c r="AM113" s="22"/>
      <c r="AN113" s="22">
        <v>0</v>
      </c>
      <c r="AO113" s="22"/>
      <c r="AP113" s="22">
        <v>0</v>
      </c>
      <c r="AQ113" s="22"/>
      <c r="AR113" s="22">
        <v>0</v>
      </c>
      <c r="AS113" s="22"/>
      <c r="AT113" s="22">
        <v>0</v>
      </c>
      <c r="AU113" s="22"/>
      <c r="AV113" s="22">
        <v>0</v>
      </c>
      <c r="AW113" s="22"/>
      <c r="AX113" s="22">
        <v>0</v>
      </c>
      <c r="AY113" s="22"/>
      <c r="AZ113" s="22">
        <v>0</v>
      </c>
      <c r="BA113" s="22"/>
      <c r="BB113" s="22">
        <v>0</v>
      </c>
      <c r="BC113" s="22"/>
      <c r="BD113" s="22">
        <v>0</v>
      </c>
      <c r="BE113" s="22"/>
      <c r="BF113" s="22">
        <v>0</v>
      </c>
      <c r="BG113" s="22"/>
      <c r="BH113" s="22">
        <v>0</v>
      </c>
      <c r="BI113" s="22"/>
      <c r="BJ113" s="22">
        <v>0</v>
      </c>
      <c r="BK113" s="22"/>
      <c r="BL113" s="22">
        <v>0</v>
      </c>
      <c r="BM113" s="22"/>
      <c r="BN113" s="22">
        <f t="shared" si="24"/>
        <v>0</v>
      </c>
      <c r="BO113" s="22"/>
      <c r="BP113" s="22">
        <v>0</v>
      </c>
      <c r="BQ113" s="22"/>
      <c r="BR113" s="22">
        <f t="shared" si="25"/>
        <v>0</v>
      </c>
      <c r="BS113" s="22"/>
      <c r="BT113" s="6">
        <f t="shared" si="21"/>
        <v>0</v>
      </c>
      <c r="BU113" s="22"/>
      <c r="BV113" s="6">
        <f t="shared" si="22"/>
        <v>0</v>
      </c>
      <c r="BW113" s="22"/>
    </row>
    <row r="114" spans="1:75" s="15" customFormat="1" hidden="1">
      <c r="A114" s="57"/>
      <c r="B114" s="17" t="s">
        <v>67</v>
      </c>
      <c r="C114"/>
      <c r="D114"/>
      <c r="E114"/>
      <c r="F114"/>
      <c r="G114"/>
      <c r="H114"/>
      <c r="I114"/>
      <c r="J114" s="49"/>
      <c r="K114"/>
      <c r="L114" s="132" t="s">
        <v>202</v>
      </c>
      <c r="M114" s="22"/>
      <c r="N114" s="22">
        <v>0</v>
      </c>
      <c r="O114" s="22"/>
      <c r="P114" s="22">
        <v>0</v>
      </c>
      <c r="Q114" s="22"/>
      <c r="R114" s="6">
        <f t="shared" si="23"/>
        <v>0</v>
      </c>
      <c r="S114" s="22"/>
      <c r="T114" s="22">
        <v>0</v>
      </c>
      <c r="U114" s="22"/>
      <c r="V114" s="22">
        <v>0</v>
      </c>
      <c r="W114" s="22"/>
      <c r="X114" s="22">
        <v>0</v>
      </c>
      <c r="Y114" s="22"/>
      <c r="Z114" s="22">
        <v>0</v>
      </c>
      <c r="AA114" s="22"/>
      <c r="AB114" s="22">
        <v>0</v>
      </c>
      <c r="AC114" s="22"/>
      <c r="AD114" s="22">
        <v>0</v>
      </c>
      <c r="AE114" s="22"/>
      <c r="AF114" s="22">
        <v>0</v>
      </c>
      <c r="AG114" s="22"/>
      <c r="AH114" s="22">
        <v>0</v>
      </c>
      <c r="AI114" s="22"/>
      <c r="AJ114" s="22">
        <v>0</v>
      </c>
      <c r="AK114" s="22"/>
      <c r="AL114" s="22"/>
      <c r="AM114" s="22"/>
      <c r="AN114" s="22">
        <v>0</v>
      </c>
      <c r="AO114" s="22"/>
      <c r="AP114" s="22">
        <v>0</v>
      </c>
      <c r="AQ114" s="22"/>
      <c r="AR114" s="22">
        <v>0</v>
      </c>
      <c r="AS114" s="22"/>
      <c r="AT114" s="22">
        <v>0</v>
      </c>
      <c r="AU114" s="22"/>
      <c r="AV114" s="22">
        <v>0</v>
      </c>
      <c r="AW114" s="22"/>
      <c r="AX114" s="22">
        <v>0</v>
      </c>
      <c r="AY114" s="22"/>
      <c r="AZ114" s="22">
        <v>0</v>
      </c>
      <c r="BA114" s="22"/>
      <c r="BB114" s="22">
        <v>0</v>
      </c>
      <c r="BC114" s="22"/>
      <c r="BD114" s="22">
        <v>0</v>
      </c>
      <c r="BE114" s="22"/>
      <c r="BF114" s="22">
        <v>0</v>
      </c>
      <c r="BG114" s="22"/>
      <c r="BH114" s="22">
        <v>0</v>
      </c>
      <c r="BI114" s="22"/>
      <c r="BJ114" s="22">
        <v>0</v>
      </c>
      <c r="BK114" s="22"/>
      <c r="BL114" s="22">
        <v>0</v>
      </c>
      <c r="BM114" s="22"/>
      <c r="BN114" s="22">
        <f t="shared" si="24"/>
        <v>0</v>
      </c>
      <c r="BO114" s="22"/>
      <c r="BP114" s="22">
        <v>0</v>
      </c>
      <c r="BQ114" s="22"/>
      <c r="BR114" s="22">
        <f t="shared" si="25"/>
        <v>0</v>
      </c>
      <c r="BS114" s="22"/>
      <c r="BT114" s="6">
        <f t="shared" si="21"/>
        <v>0</v>
      </c>
      <c r="BU114" s="22"/>
      <c r="BV114" s="6">
        <f t="shared" si="22"/>
        <v>0</v>
      </c>
      <c r="BW114" s="22"/>
    </row>
    <row r="115" spans="1:75" s="11" customFormat="1" hidden="1">
      <c r="A115" s="100"/>
      <c r="B115" s="17" t="s">
        <v>121</v>
      </c>
      <c r="C115" s="30"/>
      <c r="D115" s="30"/>
      <c r="E115" s="30"/>
      <c r="F115" s="30"/>
      <c r="G115" s="30"/>
      <c r="H115" s="30"/>
      <c r="I115" s="30"/>
      <c r="J115" s="153"/>
      <c r="K115" s="30"/>
      <c r="L115" s="132" t="s">
        <v>202</v>
      </c>
      <c r="M115" s="12"/>
      <c r="N115" s="12">
        <v>0</v>
      </c>
      <c r="O115" s="12"/>
      <c r="P115" s="12">
        <v>0</v>
      </c>
      <c r="Q115" s="12"/>
      <c r="R115" s="6">
        <f t="shared" si="23"/>
        <v>0</v>
      </c>
      <c r="S115" s="12"/>
      <c r="T115" s="12">
        <v>0</v>
      </c>
      <c r="U115" s="12"/>
      <c r="V115" s="12">
        <v>0</v>
      </c>
      <c r="W115" s="12"/>
      <c r="X115" s="12">
        <v>0</v>
      </c>
      <c r="Y115" s="12"/>
      <c r="Z115" s="12">
        <v>0</v>
      </c>
      <c r="AA115" s="12"/>
      <c r="AB115" s="12">
        <v>0</v>
      </c>
      <c r="AC115" s="12"/>
      <c r="AD115" s="12">
        <v>0</v>
      </c>
      <c r="AE115" s="12"/>
      <c r="AF115" s="12">
        <v>0</v>
      </c>
      <c r="AG115" s="12"/>
      <c r="AH115" s="12">
        <v>0</v>
      </c>
      <c r="AI115" s="12"/>
      <c r="AJ115" s="12">
        <v>0</v>
      </c>
      <c r="AK115" s="12"/>
      <c r="AL115" s="12"/>
      <c r="AM115" s="12"/>
      <c r="AN115" s="12">
        <v>0</v>
      </c>
      <c r="AO115" s="12"/>
      <c r="AP115" s="12">
        <v>0</v>
      </c>
      <c r="AQ115" s="12"/>
      <c r="AR115" s="12">
        <v>0</v>
      </c>
      <c r="AS115" s="12"/>
      <c r="AT115" s="12">
        <v>0</v>
      </c>
      <c r="AU115" s="12"/>
      <c r="AV115" s="12">
        <v>0</v>
      </c>
      <c r="AW115" s="12"/>
      <c r="AX115" s="12">
        <v>0</v>
      </c>
      <c r="AY115" s="12"/>
      <c r="AZ115" s="12">
        <v>0</v>
      </c>
      <c r="BA115" s="12"/>
      <c r="BB115" s="12">
        <v>0</v>
      </c>
      <c r="BC115" s="12"/>
      <c r="BD115" s="12">
        <v>0</v>
      </c>
      <c r="BE115" s="12"/>
      <c r="BF115" s="12">
        <v>0</v>
      </c>
      <c r="BG115" s="12"/>
      <c r="BH115" s="12">
        <v>0</v>
      </c>
      <c r="BI115" s="12"/>
      <c r="BJ115" s="12">
        <v>0</v>
      </c>
      <c r="BK115" s="12"/>
      <c r="BL115" s="12">
        <v>0</v>
      </c>
      <c r="BM115" s="12"/>
      <c r="BN115" s="12">
        <f t="shared" si="24"/>
        <v>0</v>
      </c>
      <c r="BO115" s="12"/>
      <c r="BP115" s="12">
        <v>0</v>
      </c>
      <c r="BQ115" s="12"/>
      <c r="BR115" s="12">
        <f t="shared" si="25"/>
        <v>0</v>
      </c>
      <c r="BS115" s="12"/>
      <c r="BT115" s="6">
        <f t="shared" si="21"/>
        <v>0</v>
      </c>
      <c r="BU115" s="12"/>
      <c r="BV115" s="6">
        <f t="shared" si="22"/>
        <v>0</v>
      </c>
      <c r="BW115" s="12"/>
    </row>
    <row r="116" spans="1:75" hidden="1">
      <c r="A116" s="57"/>
      <c r="B116" s="17"/>
      <c r="C116"/>
      <c r="D116"/>
      <c r="E116"/>
      <c r="F116"/>
      <c r="G116"/>
      <c r="H116"/>
      <c r="I116"/>
      <c r="J116" s="49"/>
      <c r="K116"/>
      <c r="L116" s="132"/>
      <c r="M116" s="6"/>
      <c r="N116" s="12"/>
      <c r="O116" s="6"/>
      <c r="P116" s="12"/>
      <c r="Q116" s="6"/>
      <c r="R116" s="12"/>
      <c r="S116" s="6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2"/>
      <c r="AP116" s="12"/>
      <c r="AQ116" s="12"/>
      <c r="AR116" s="12"/>
      <c r="AS116" s="12"/>
      <c r="AT116" s="12"/>
      <c r="AU116" s="12"/>
      <c r="AV116" s="12"/>
      <c r="AW116" s="12"/>
      <c r="AX116" s="12"/>
      <c r="AY116" s="12"/>
      <c r="AZ116" s="12"/>
      <c r="BA116" s="12"/>
      <c r="BB116" s="12"/>
      <c r="BC116" s="12"/>
      <c r="BD116" s="12"/>
      <c r="BE116" s="12"/>
      <c r="BF116" s="12"/>
      <c r="BG116" s="12"/>
      <c r="BH116" s="12"/>
      <c r="BI116" s="12"/>
      <c r="BJ116" s="12"/>
      <c r="BK116" s="12"/>
      <c r="BL116" s="12"/>
      <c r="BM116" s="6"/>
      <c r="BN116" s="12"/>
      <c r="BO116" s="6"/>
      <c r="BP116" s="12"/>
      <c r="BQ116" s="6"/>
      <c r="BR116" s="12"/>
      <c r="BT116" s="12"/>
      <c r="BV116" s="12"/>
      <c r="BW116" s="12"/>
    </row>
    <row r="117" spans="1:75" s="21" customFormat="1" hidden="1">
      <c r="A117" s="107"/>
      <c r="B117" s="77" t="s">
        <v>21</v>
      </c>
      <c r="J117" s="8"/>
      <c r="L117" s="141"/>
      <c r="M117" s="9"/>
      <c r="N117" s="102">
        <f>SUM(N92:N116)</f>
        <v>0</v>
      </c>
      <c r="O117" s="9"/>
      <c r="P117" s="102">
        <f>SUM(P92:P116)</f>
        <v>0</v>
      </c>
      <c r="Q117" s="9"/>
      <c r="R117" s="102">
        <f>SUM(R92:R116)</f>
        <v>0</v>
      </c>
      <c r="S117" s="9"/>
      <c r="T117" s="102">
        <f>SUM(T92:T116)</f>
        <v>0</v>
      </c>
      <c r="U117" s="9"/>
      <c r="V117" s="102">
        <f>SUM(V92:V116)</f>
        <v>0</v>
      </c>
      <c r="W117" s="9"/>
      <c r="X117" s="102">
        <f>SUM(X92:X116)</f>
        <v>0</v>
      </c>
      <c r="Y117" s="9"/>
      <c r="Z117" s="102">
        <f>SUM(Z92:Z116)</f>
        <v>0</v>
      </c>
      <c r="AA117" s="9"/>
      <c r="AB117" s="102">
        <f>SUM(AB92:AB116)</f>
        <v>0</v>
      </c>
      <c r="AC117" s="9"/>
      <c r="AD117" s="102">
        <f>SUM(AD92:AD116)</f>
        <v>0</v>
      </c>
      <c r="AE117" s="9"/>
      <c r="AF117" s="102">
        <f>SUM(AF92:AF116)</f>
        <v>0</v>
      </c>
      <c r="AG117" s="9"/>
      <c r="AH117" s="102">
        <f>SUM(AH92:AH116)</f>
        <v>0</v>
      </c>
      <c r="AI117" s="9"/>
      <c r="AJ117" s="102">
        <f>SUM(AJ92:AJ116)</f>
        <v>0</v>
      </c>
      <c r="AK117" s="9"/>
      <c r="AL117" s="102"/>
      <c r="AM117" s="9"/>
      <c r="AN117" s="102">
        <f>SUM(AN92:AN116)</f>
        <v>0</v>
      </c>
      <c r="AO117" s="9"/>
      <c r="AP117" s="102">
        <f>SUM(AP92:AP116)</f>
        <v>0</v>
      </c>
      <c r="AQ117" s="9"/>
      <c r="AR117" s="102">
        <f>SUM(AR92:AR116)</f>
        <v>0</v>
      </c>
      <c r="AS117" s="9"/>
      <c r="AT117" s="102">
        <f>SUM(AT92:AT116)</f>
        <v>0</v>
      </c>
      <c r="AU117" s="9"/>
      <c r="AV117" s="102">
        <f>SUM(AV92:AV116)</f>
        <v>0</v>
      </c>
      <c r="AW117" s="10"/>
      <c r="AX117" s="102">
        <f>SUM(AX92:AX116)</f>
        <v>0</v>
      </c>
      <c r="AY117" s="10"/>
      <c r="AZ117" s="102">
        <f>SUM(AZ92:AZ116)</f>
        <v>0</v>
      </c>
      <c r="BA117" s="10"/>
      <c r="BB117" s="102">
        <f>SUM(BB92:BB116)</f>
        <v>0</v>
      </c>
      <c r="BC117" s="10"/>
      <c r="BD117" s="102">
        <f>SUM(BD92:BD116)</f>
        <v>0</v>
      </c>
      <c r="BE117" s="10"/>
      <c r="BF117" s="102">
        <f>SUM(BF92:BF116)</f>
        <v>0</v>
      </c>
      <c r="BG117" s="10"/>
      <c r="BH117" s="102">
        <f>SUM(BH92:BH116)</f>
        <v>0</v>
      </c>
      <c r="BI117" s="10"/>
      <c r="BJ117" s="102">
        <f>SUM(BJ92:BJ116)</f>
        <v>0</v>
      </c>
      <c r="BK117" s="10"/>
      <c r="BL117" s="102">
        <f>SUM(BL92:BL116)</f>
        <v>0</v>
      </c>
      <c r="BM117" s="9"/>
      <c r="BN117" s="102">
        <f>SUM(BN92:BN116)</f>
        <v>0</v>
      </c>
      <c r="BO117" s="9"/>
      <c r="BP117" s="102">
        <f>SUM(BP92:BP116)</f>
        <v>0</v>
      </c>
      <c r="BQ117" s="9"/>
      <c r="BR117" s="102">
        <f>SUM(BR92:BR116)</f>
        <v>0</v>
      </c>
      <c r="BS117" s="9"/>
      <c r="BT117" s="102">
        <f>SUM(BT92:BT116)</f>
        <v>0</v>
      </c>
      <c r="BU117" s="9"/>
      <c r="BV117" s="102">
        <f>SUM(BV92:BV116)</f>
        <v>0</v>
      </c>
      <c r="BW117" s="9"/>
    </row>
    <row r="118" spans="1:75" s="105" customFormat="1">
      <c r="A118" s="158" t="s">
        <v>246</v>
      </c>
      <c r="B118" s="63"/>
      <c r="J118" s="155"/>
      <c r="L118" s="142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3"/>
      <c r="AR118" s="13"/>
      <c r="AS118" s="13"/>
      <c r="AT118" s="13"/>
      <c r="AU118" s="13"/>
      <c r="AV118" s="13"/>
      <c r="AW118" s="13"/>
      <c r="AX118" s="13"/>
      <c r="AY118" s="13"/>
      <c r="AZ118" s="13"/>
      <c r="BA118" s="13"/>
      <c r="BB118" s="13"/>
      <c r="BC118" s="13"/>
      <c r="BD118" s="13"/>
      <c r="BE118" s="13"/>
      <c r="BF118" s="13"/>
      <c r="BG118" s="13"/>
      <c r="BH118" s="13"/>
      <c r="BI118" s="13"/>
      <c r="BJ118" s="13"/>
      <c r="BK118" s="13"/>
      <c r="BL118" s="13"/>
      <c r="BM118" s="13"/>
      <c r="BN118" s="13"/>
      <c r="BO118" s="13"/>
      <c r="BP118" s="13"/>
      <c r="BQ118" s="13"/>
      <c r="BR118" s="13"/>
      <c r="BS118" s="13"/>
      <c r="BT118" s="13"/>
      <c r="BU118" s="13"/>
      <c r="BV118" s="13"/>
      <c r="BW118" s="13"/>
    </row>
    <row r="119" spans="1:75" s="15" customFormat="1" hidden="1">
      <c r="A119" s="62" t="s">
        <v>22</v>
      </c>
      <c r="B119" s="17"/>
      <c r="C119"/>
      <c r="D119"/>
      <c r="E119"/>
      <c r="F119"/>
      <c r="G119"/>
      <c r="H119"/>
      <c r="I119"/>
      <c r="J119" s="49"/>
      <c r="K119"/>
      <c r="L119" s="13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  <c r="BJ119" s="22"/>
      <c r="BK119" s="22"/>
      <c r="BL119" s="22"/>
      <c r="BM119" s="22"/>
      <c r="BN119" s="22"/>
      <c r="BO119" s="22"/>
      <c r="BP119" s="22"/>
      <c r="BQ119" s="22"/>
      <c r="BR119" s="22"/>
      <c r="BS119" s="22"/>
      <c r="BT119" s="22"/>
      <c r="BU119" s="22"/>
      <c r="BV119" s="22"/>
      <c r="BW119" s="22"/>
    </row>
    <row r="120" spans="1:75" s="15" customFormat="1" hidden="1">
      <c r="A120" s="62"/>
      <c r="B120" s="17" t="s">
        <v>163</v>
      </c>
      <c r="C120"/>
      <c r="D120"/>
      <c r="E120"/>
      <c r="F120"/>
      <c r="G120"/>
      <c r="H120"/>
      <c r="I120"/>
      <c r="J120" s="49"/>
      <c r="K120"/>
      <c r="L120" s="132" t="s">
        <v>202</v>
      </c>
      <c r="M120" s="22"/>
      <c r="N120" s="22">
        <v>0</v>
      </c>
      <c r="O120" s="22"/>
      <c r="P120" s="22">
        <v>0</v>
      </c>
      <c r="Q120" s="22"/>
      <c r="R120" s="6">
        <f t="shared" ref="R120:R129" si="26">+N120+P120</f>
        <v>0</v>
      </c>
      <c r="S120" s="22"/>
      <c r="T120" s="22">
        <v>0</v>
      </c>
      <c r="U120" s="22"/>
      <c r="V120" s="22">
        <v>0</v>
      </c>
      <c r="W120" s="22"/>
      <c r="X120" s="22">
        <v>0</v>
      </c>
      <c r="Y120" s="22"/>
      <c r="Z120" s="22">
        <v>0</v>
      </c>
      <c r="AA120" s="22"/>
      <c r="AB120" s="22">
        <v>0</v>
      </c>
      <c r="AC120" s="22"/>
      <c r="AD120" s="22">
        <v>0</v>
      </c>
      <c r="AE120" s="22"/>
      <c r="AF120" s="22">
        <v>0</v>
      </c>
      <c r="AG120" s="22"/>
      <c r="AH120" s="22">
        <v>0</v>
      </c>
      <c r="AI120" s="22"/>
      <c r="AJ120" s="22">
        <v>0</v>
      </c>
      <c r="AK120" s="22"/>
      <c r="AL120" s="22"/>
      <c r="AM120" s="22"/>
      <c r="AN120" s="22">
        <v>0</v>
      </c>
      <c r="AO120" s="22"/>
      <c r="AP120" s="22">
        <v>0</v>
      </c>
      <c r="AQ120" s="22"/>
      <c r="AR120" s="22">
        <v>0</v>
      </c>
      <c r="AS120" s="22"/>
      <c r="AT120" s="22">
        <v>0</v>
      </c>
      <c r="AU120" s="22"/>
      <c r="AV120" s="22">
        <v>0</v>
      </c>
      <c r="AW120" s="22"/>
      <c r="AX120" s="22">
        <v>0</v>
      </c>
      <c r="AY120" s="22"/>
      <c r="AZ120" s="22">
        <v>0</v>
      </c>
      <c r="BA120" s="22"/>
      <c r="BB120" s="22">
        <v>0</v>
      </c>
      <c r="BC120" s="22"/>
      <c r="BD120" s="22">
        <v>0</v>
      </c>
      <c r="BE120" s="22"/>
      <c r="BF120" s="22">
        <v>0</v>
      </c>
      <c r="BG120" s="22"/>
      <c r="BH120" s="22">
        <v>0</v>
      </c>
      <c r="BI120" s="22"/>
      <c r="BJ120" s="22">
        <v>0</v>
      </c>
      <c r="BK120" s="22"/>
      <c r="BL120" s="22">
        <v>0</v>
      </c>
      <c r="BM120" s="22"/>
      <c r="BN120" s="22">
        <f t="shared" ref="BN120:BN129" si="27">SUM(T120:BM120)</f>
        <v>0</v>
      </c>
      <c r="BO120" s="22"/>
      <c r="BP120" s="22">
        <v>0</v>
      </c>
      <c r="BQ120" s="22"/>
      <c r="BR120" s="22">
        <f t="shared" ref="BR120:BR129" si="28">+R120-BN120+BP120</f>
        <v>0</v>
      </c>
      <c r="BS120" s="22"/>
      <c r="BT120" s="6">
        <f t="shared" ref="BT120:BT129" si="29">+BN120+BR120</f>
        <v>0</v>
      </c>
      <c r="BU120" s="22"/>
      <c r="BV120" s="6">
        <f t="shared" ref="BV120:BV129" si="30">+R120-BT120</f>
        <v>0</v>
      </c>
      <c r="BW120" s="22"/>
    </row>
    <row r="121" spans="1:75" s="15" customFormat="1" hidden="1">
      <c r="A121" s="62"/>
      <c r="B121" s="17" t="s">
        <v>164</v>
      </c>
      <c r="C121"/>
      <c r="D121"/>
      <c r="E121"/>
      <c r="F121"/>
      <c r="G121"/>
      <c r="H121"/>
      <c r="I121"/>
      <c r="J121" s="49"/>
      <c r="K121"/>
      <c r="L121" s="132" t="s">
        <v>202</v>
      </c>
      <c r="M121" s="22"/>
      <c r="N121" s="22">
        <v>0</v>
      </c>
      <c r="O121" s="22"/>
      <c r="P121" s="22">
        <v>0</v>
      </c>
      <c r="Q121" s="22"/>
      <c r="R121" s="6">
        <f t="shared" si="26"/>
        <v>0</v>
      </c>
      <c r="S121" s="22"/>
      <c r="T121" s="22">
        <v>0</v>
      </c>
      <c r="U121" s="22"/>
      <c r="V121" s="22">
        <v>0</v>
      </c>
      <c r="W121" s="22"/>
      <c r="X121" s="22">
        <v>0</v>
      </c>
      <c r="Y121" s="22"/>
      <c r="Z121" s="22">
        <v>0</v>
      </c>
      <c r="AA121" s="22"/>
      <c r="AB121" s="22">
        <v>0</v>
      </c>
      <c r="AC121" s="22"/>
      <c r="AD121" s="22">
        <v>0</v>
      </c>
      <c r="AE121" s="22"/>
      <c r="AF121" s="22">
        <v>0</v>
      </c>
      <c r="AG121" s="22"/>
      <c r="AH121" s="22">
        <v>0</v>
      </c>
      <c r="AI121" s="22"/>
      <c r="AJ121" s="22">
        <v>0</v>
      </c>
      <c r="AK121" s="22"/>
      <c r="AL121" s="22"/>
      <c r="AM121" s="22"/>
      <c r="AN121" s="22">
        <v>0</v>
      </c>
      <c r="AO121" s="22"/>
      <c r="AP121" s="22">
        <v>0</v>
      </c>
      <c r="AQ121" s="22"/>
      <c r="AR121" s="22">
        <v>0</v>
      </c>
      <c r="AS121" s="22"/>
      <c r="AT121" s="22">
        <v>0</v>
      </c>
      <c r="AU121" s="22"/>
      <c r="AV121" s="22">
        <v>0</v>
      </c>
      <c r="AW121" s="22"/>
      <c r="AX121" s="22">
        <v>0</v>
      </c>
      <c r="AY121" s="22"/>
      <c r="AZ121" s="22">
        <v>0</v>
      </c>
      <c r="BA121" s="22"/>
      <c r="BB121" s="22">
        <v>0</v>
      </c>
      <c r="BC121" s="22"/>
      <c r="BD121" s="22">
        <v>0</v>
      </c>
      <c r="BE121" s="22"/>
      <c r="BF121" s="22">
        <v>0</v>
      </c>
      <c r="BG121" s="22"/>
      <c r="BH121" s="22">
        <v>0</v>
      </c>
      <c r="BI121" s="22"/>
      <c r="BJ121" s="22">
        <v>0</v>
      </c>
      <c r="BK121" s="22"/>
      <c r="BL121" s="22">
        <v>0</v>
      </c>
      <c r="BM121" s="22"/>
      <c r="BN121" s="22">
        <f t="shared" si="27"/>
        <v>0</v>
      </c>
      <c r="BO121" s="22"/>
      <c r="BP121" s="22">
        <v>0</v>
      </c>
      <c r="BQ121" s="22"/>
      <c r="BR121" s="22">
        <f t="shared" si="28"/>
        <v>0</v>
      </c>
      <c r="BS121" s="22"/>
      <c r="BT121" s="6">
        <f t="shared" si="29"/>
        <v>0</v>
      </c>
      <c r="BU121" s="22"/>
      <c r="BV121" s="6">
        <f t="shared" si="30"/>
        <v>0</v>
      </c>
      <c r="BW121" s="22"/>
    </row>
    <row r="122" spans="1:75" s="15" customFormat="1" hidden="1">
      <c r="A122" s="62"/>
      <c r="B122" s="17" t="s">
        <v>165</v>
      </c>
      <c r="C122"/>
      <c r="D122"/>
      <c r="E122"/>
      <c r="F122"/>
      <c r="G122"/>
      <c r="H122"/>
      <c r="I122"/>
      <c r="J122" s="49"/>
      <c r="K122"/>
      <c r="L122" s="132" t="s">
        <v>202</v>
      </c>
      <c r="M122" s="22"/>
      <c r="N122" s="22">
        <v>0</v>
      </c>
      <c r="O122" s="22"/>
      <c r="P122" s="22">
        <v>0</v>
      </c>
      <c r="Q122" s="22"/>
      <c r="R122" s="6">
        <f t="shared" si="26"/>
        <v>0</v>
      </c>
      <c r="S122" s="22"/>
      <c r="T122" s="22">
        <v>0</v>
      </c>
      <c r="U122" s="22"/>
      <c r="V122" s="22">
        <v>0</v>
      </c>
      <c r="W122" s="22"/>
      <c r="X122" s="22">
        <v>0</v>
      </c>
      <c r="Y122" s="22"/>
      <c r="Z122" s="22">
        <v>0</v>
      </c>
      <c r="AA122" s="22"/>
      <c r="AB122" s="22">
        <v>0</v>
      </c>
      <c r="AC122" s="22"/>
      <c r="AD122" s="22">
        <v>0</v>
      </c>
      <c r="AE122" s="22"/>
      <c r="AF122" s="22">
        <v>0</v>
      </c>
      <c r="AG122" s="22"/>
      <c r="AH122" s="22">
        <v>0</v>
      </c>
      <c r="AI122" s="22"/>
      <c r="AJ122" s="22">
        <v>0</v>
      </c>
      <c r="AK122" s="22"/>
      <c r="AL122" s="22"/>
      <c r="AM122" s="22"/>
      <c r="AN122" s="22">
        <v>0</v>
      </c>
      <c r="AO122" s="22"/>
      <c r="AP122" s="22">
        <v>0</v>
      </c>
      <c r="AQ122" s="22"/>
      <c r="AR122" s="22">
        <v>0</v>
      </c>
      <c r="AS122" s="22"/>
      <c r="AT122" s="22">
        <v>0</v>
      </c>
      <c r="AU122" s="22"/>
      <c r="AV122" s="22">
        <v>0</v>
      </c>
      <c r="AW122" s="22"/>
      <c r="AX122" s="22">
        <v>0</v>
      </c>
      <c r="AY122" s="22"/>
      <c r="AZ122" s="22">
        <v>0</v>
      </c>
      <c r="BA122" s="22"/>
      <c r="BB122" s="22">
        <v>0</v>
      </c>
      <c r="BC122" s="22"/>
      <c r="BD122" s="22">
        <v>0</v>
      </c>
      <c r="BE122" s="22"/>
      <c r="BF122" s="22">
        <v>0</v>
      </c>
      <c r="BG122" s="22"/>
      <c r="BH122" s="22">
        <v>0</v>
      </c>
      <c r="BI122" s="22"/>
      <c r="BJ122" s="22">
        <v>0</v>
      </c>
      <c r="BK122" s="22"/>
      <c r="BL122" s="22">
        <v>0</v>
      </c>
      <c r="BM122" s="22"/>
      <c r="BN122" s="22">
        <f t="shared" si="27"/>
        <v>0</v>
      </c>
      <c r="BO122" s="22"/>
      <c r="BP122" s="22">
        <v>0</v>
      </c>
      <c r="BQ122" s="22"/>
      <c r="BR122" s="22">
        <f t="shared" si="28"/>
        <v>0</v>
      </c>
      <c r="BS122" s="22"/>
      <c r="BT122" s="6">
        <f t="shared" si="29"/>
        <v>0</v>
      </c>
      <c r="BU122" s="22"/>
      <c r="BV122" s="6">
        <f t="shared" si="30"/>
        <v>0</v>
      </c>
      <c r="BW122" s="22"/>
    </row>
    <row r="123" spans="1:75" s="15" customFormat="1" hidden="1">
      <c r="A123" s="62"/>
      <c r="B123" s="17" t="s">
        <v>166</v>
      </c>
      <c r="C123"/>
      <c r="D123"/>
      <c r="E123"/>
      <c r="F123"/>
      <c r="G123"/>
      <c r="H123"/>
      <c r="I123"/>
      <c r="J123" s="49"/>
      <c r="K123"/>
      <c r="L123" s="132" t="s">
        <v>202</v>
      </c>
      <c r="M123" s="22"/>
      <c r="N123" s="22">
        <v>0</v>
      </c>
      <c r="O123" s="22"/>
      <c r="P123" s="22">
        <v>0</v>
      </c>
      <c r="Q123" s="22"/>
      <c r="R123" s="6">
        <f t="shared" si="26"/>
        <v>0</v>
      </c>
      <c r="S123" s="22"/>
      <c r="T123" s="22">
        <v>0</v>
      </c>
      <c r="U123" s="22"/>
      <c r="V123" s="22">
        <v>0</v>
      </c>
      <c r="W123" s="22"/>
      <c r="X123" s="22">
        <v>0</v>
      </c>
      <c r="Y123" s="22"/>
      <c r="Z123" s="22">
        <v>0</v>
      </c>
      <c r="AA123" s="22"/>
      <c r="AB123" s="22">
        <v>0</v>
      </c>
      <c r="AC123" s="22"/>
      <c r="AD123" s="22">
        <v>0</v>
      </c>
      <c r="AE123" s="22"/>
      <c r="AF123" s="22">
        <v>0</v>
      </c>
      <c r="AG123" s="22"/>
      <c r="AH123" s="22">
        <v>0</v>
      </c>
      <c r="AI123" s="22"/>
      <c r="AJ123" s="22">
        <v>0</v>
      </c>
      <c r="AK123" s="22"/>
      <c r="AL123" s="22"/>
      <c r="AM123" s="22"/>
      <c r="AN123" s="22">
        <v>0</v>
      </c>
      <c r="AO123" s="22"/>
      <c r="AP123" s="22">
        <v>0</v>
      </c>
      <c r="AQ123" s="22"/>
      <c r="AR123" s="22">
        <v>0</v>
      </c>
      <c r="AS123" s="22"/>
      <c r="AT123" s="22">
        <v>0</v>
      </c>
      <c r="AU123" s="22"/>
      <c r="AV123" s="22">
        <v>0</v>
      </c>
      <c r="AW123" s="22"/>
      <c r="AX123" s="22">
        <v>0</v>
      </c>
      <c r="AY123" s="22"/>
      <c r="AZ123" s="22">
        <v>0</v>
      </c>
      <c r="BA123" s="22"/>
      <c r="BB123" s="22">
        <v>0</v>
      </c>
      <c r="BC123" s="22"/>
      <c r="BD123" s="22">
        <v>0</v>
      </c>
      <c r="BE123" s="22"/>
      <c r="BF123" s="22">
        <v>0</v>
      </c>
      <c r="BG123" s="22"/>
      <c r="BH123" s="22">
        <v>0</v>
      </c>
      <c r="BI123" s="22"/>
      <c r="BJ123" s="22">
        <v>0</v>
      </c>
      <c r="BK123" s="22"/>
      <c r="BL123" s="22">
        <v>0</v>
      </c>
      <c r="BM123" s="22"/>
      <c r="BN123" s="22">
        <f t="shared" si="27"/>
        <v>0</v>
      </c>
      <c r="BO123" s="22"/>
      <c r="BP123" s="22">
        <v>0</v>
      </c>
      <c r="BQ123" s="22"/>
      <c r="BR123" s="22">
        <f t="shared" si="28"/>
        <v>0</v>
      </c>
      <c r="BS123" s="22"/>
      <c r="BT123" s="6">
        <f t="shared" si="29"/>
        <v>0</v>
      </c>
      <c r="BU123" s="22"/>
      <c r="BV123" s="6">
        <f t="shared" si="30"/>
        <v>0</v>
      </c>
      <c r="BW123" s="22"/>
    </row>
    <row r="124" spans="1:75" s="15" customFormat="1" hidden="1">
      <c r="A124" s="62"/>
      <c r="B124" s="17" t="s">
        <v>68</v>
      </c>
      <c r="C124"/>
      <c r="D124"/>
      <c r="E124"/>
      <c r="F124"/>
      <c r="G124"/>
      <c r="H124"/>
      <c r="I124"/>
      <c r="J124" s="49"/>
      <c r="K124"/>
      <c r="L124" s="132" t="s">
        <v>202</v>
      </c>
      <c r="M124" s="22"/>
      <c r="N124" s="22">
        <v>0</v>
      </c>
      <c r="O124" s="22"/>
      <c r="P124" s="22">
        <v>0</v>
      </c>
      <c r="Q124" s="22"/>
      <c r="R124" s="6">
        <f t="shared" si="26"/>
        <v>0</v>
      </c>
      <c r="S124" s="22"/>
      <c r="T124" s="22">
        <v>0</v>
      </c>
      <c r="U124" s="22"/>
      <c r="V124" s="22">
        <v>0</v>
      </c>
      <c r="W124" s="22"/>
      <c r="X124" s="22">
        <v>0</v>
      </c>
      <c r="Y124" s="22"/>
      <c r="Z124" s="22">
        <v>0</v>
      </c>
      <c r="AA124" s="22"/>
      <c r="AB124" s="22">
        <v>0</v>
      </c>
      <c r="AC124" s="22"/>
      <c r="AD124" s="22">
        <v>0</v>
      </c>
      <c r="AE124" s="22"/>
      <c r="AF124" s="22">
        <v>0</v>
      </c>
      <c r="AG124" s="22"/>
      <c r="AH124" s="22">
        <v>0</v>
      </c>
      <c r="AI124" s="22"/>
      <c r="AJ124" s="22">
        <v>0</v>
      </c>
      <c r="AK124" s="22"/>
      <c r="AL124" s="22"/>
      <c r="AM124" s="22"/>
      <c r="AN124" s="22">
        <v>0</v>
      </c>
      <c r="AO124" s="22"/>
      <c r="AP124" s="22">
        <v>0</v>
      </c>
      <c r="AQ124" s="22"/>
      <c r="AR124" s="22">
        <v>0</v>
      </c>
      <c r="AS124" s="22"/>
      <c r="AT124" s="22">
        <v>0</v>
      </c>
      <c r="AU124" s="22"/>
      <c r="AV124" s="22">
        <v>0</v>
      </c>
      <c r="AW124" s="22"/>
      <c r="AX124" s="22">
        <v>0</v>
      </c>
      <c r="AY124" s="22"/>
      <c r="AZ124" s="22">
        <v>0</v>
      </c>
      <c r="BA124" s="22"/>
      <c r="BB124" s="22">
        <v>0</v>
      </c>
      <c r="BC124" s="22"/>
      <c r="BD124" s="22">
        <v>0</v>
      </c>
      <c r="BE124" s="22"/>
      <c r="BF124" s="22">
        <v>0</v>
      </c>
      <c r="BG124" s="22"/>
      <c r="BH124" s="22">
        <v>0</v>
      </c>
      <c r="BI124" s="22"/>
      <c r="BJ124" s="22">
        <v>0</v>
      </c>
      <c r="BK124" s="22"/>
      <c r="BL124" s="22">
        <v>0</v>
      </c>
      <c r="BM124" s="22"/>
      <c r="BN124" s="22">
        <f t="shared" si="27"/>
        <v>0</v>
      </c>
      <c r="BO124" s="22"/>
      <c r="BP124" s="22">
        <v>0</v>
      </c>
      <c r="BQ124" s="22"/>
      <c r="BR124" s="22">
        <f t="shared" si="28"/>
        <v>0</v>
      </c>
      <c r="BS124" s="22"/>
      <c r="BT124" s="6">
        <f t="shared" si="29"/>
        <v>0</v>
      </c>
      <c r="BU124" s="22"/>
      <c r="BV124" s="6">
        <f t="shared" si="30"/>
        <v>0</v>
      </c>
      <c r="BW124" s="22"/>
    </row>
    <row r="125" spans="1:75" s="15" customFormat="1" hidden="1">
      <c r="A125" s="62"/>
      <c r="B125" s="17" t="s">
        <v>69</v>
      </c>
      <c r="C125"/>
      <c r="D125"/>
      <c r="E125"/>
      <c r="F125"/>
      <c r="G125"/>
      <c r="H125"/>
      <c r="I125"/>
      <c r="J125" s="49"/>
      <c r="K125"/>
      <c r="L125" s="132" t="s">
        <v>202</v>
      </c>
      <c r="M125" s="22"/>
      <c r="N125" s="22">
        <v>0</v>
      </c>
      <c r="O125" s="22"/>
      <c r="P125" s="22">
        <v>0</v>
      </c>
      <c r="Q125" s="22"/>
      <c r="R125" s="6">
        <f t="shared" si="26"/>
        <v>0</v>
      </c>
      <c r="S125" s="22"/>
      <c r="T125" s="22">
        <v>0</v>
      </c>
      <c r="U125" s="22"/>
      <c r="V125" s="22">
        <v>0</v>
      </c>
      <c r="W125" s="22"/>
      <c r="X125" s="22">
        <v>0</v>
      </c>
      <c r="Y125" s="22"/>
      <c r="Z125" s="22">
        <v>0</v>
      </c>
      <c r="AA125" s="22"/>
      <c r="AB125" s="22">
        <v>0</v>
      </c>
      <c r="AC125" s="22"/>
      <c r="AD125" s="22">
        <v>0</v>
      </c>
      <c r="AE125" s="22"/>
      <c r="AF125" s="22">
        <v>0</v>
      </c>
      <c r="AG125" s="22"/>
      <c r="AH125" s="22">
        <v>0</v>
      </c>
      <c r="AI125" s="22"/>
      <c r="AJ125" s="22">
        <v>0</v>
      </c>
      <c r="AK125" s="22"/>
      <c r="AL125" s="22"/>
      <c r="AM125" s="22"/>
      <c r="AN125" s="22">
        <v>0</v>
      </c>
      <c r="AO125" s="22"/>
      <c r="AP125" s="22">
        <v>0</v>
      </c>
      <c r="AQ125" s="22"/>
      <c r="AR125" s="22">
        <v>0</v>
      </c>
      <c r="AS125" s="22"/>
      <c r="AT125" s="22">
        <v>0</v>
      </c>
      <c r="AU125" s="22"/>
      <c r="AV125" s="22">
        <v>0</v>
      </c>
      <c r="AW125" s="22"/>
      <c r="AX125" s="22">
        <v>0</v>
      </c>
      <c r="AY125" s="22"/>
      <c r="AZ125" s="22">
        <v>0</v>
      </c>
      <c r="BA125" s="22"/>
      <c r="BB125" s="22">
        <v>0</v>
      </c>
      <c r="BC125" s="22"/>
      <c r="BD125" s="22">
        <v>0</v>
      </c>
      <c r="BE125" s="22"/>
      <c r="BF125" s="22">
        <v>0</v>
      </c>
      <c r="BG125" s="22"/>
      <c r="BH125" s="22">
        <v>0</v>
      </c>
      <c r="BI125" s="22"/>
      <c r="BJ125" s="22">
        <v>0</v>
      </c>
      <c r="BK125" s="22"/>
      <c r="BL125" s="22">
        <v>0</v>
      </c>
      <c r="BM125" s="22"/>
      <c r="BN125" s="22">
        <f t="shared" si="27"/>
        <v>0</v>
      </c>
      <c r="BO125" s="22"/>
      <c r="BP125" s="22">
        <v>0</v>
      </c>
      <c r="BQ125" s="22"/>
      <c r="BR125" s="22">
        <f t="shared" si="28"/>
        <v>0</v>
      </c>
      <c r="BS125" s="22"/>
      <c r="BT125" s="6">
        <f t="shared" si="29"/>
        <v>0</v>
      </c>
      <c r="BU125" s="22"/>
      <c r="BV125" s="6">
        <f t="shared" si="30"/>
        <v>0</v>
      </c>
      <c r="BW125" s="22"/>
    </row>
    <row r="126" spans="1:75" s="15" customFormat="1" hidden="1">
      <c r="A126" s="62"/>
      <c r="B126" s="17" t="s">
        <v>167</v>
      </c>
      <c r="C126"/>
      <c r="D126"/>
      <c r="E126"/>
      <c r="F126"/>
      <c r="G126"/>
      <c r="H126"/>
      <c r="I126"/>
      <c r="J126" s="49"/>
      <c r="K126"/>
      <c r="L126" s="132" t="s">
        <v>202</v>
      </c>
      <c r="M126" s="22"/>
      <c r="N126" s="22">
        <v>0</v>
      </c>
      <c r="O126" s="22"/>
      <c r="P126" s="22">
        <v>0</v>
      </c>
      <c r="Q126" s="22"/>
      <c r="R126" s="6">
        <f t="shared" si="26"/>
        <v>0</v>
      </c>
      <c r="S126" s="22"/>
      <c r="T126" s="22">
        <v>0</v>
      </c>
      <c r="U126" s="22"/>
      <c r="V126" s="22">
        <v>0</v>
      </c>
      <c r="W126" s="22"/>
      <c r="X126" s="22">
        <v>0</v>
      </c>
      <c r="Y126" s="22"/>
      <c r="Z126" s="22">
        <v>0</v>
      </c>
      <c r="AA126" s="22"/>
      <c r="AB126" s="22">
        <v>0</v>
      </c>
      <c r="AC126" s="22"/>
      <c r="AD126" s="22">
        <v>0</v>
      </c>
      <c r="AE126" s="22"/>
      <c r="AF126" s="22">
        <v>0</v>
      </c>
      <c r="AG126" s="22"/>
      <c r="AH126" s="22">
        <v>0</v>
      </c>
      <c r="AI126" s="22"/>
      <c r="AJ126" s="22">
        <v>0</v>
      </c>
      <c r="AK126" s="22"/>
      <c r="AL126" s="22"/>
      <c r="AM126" s="22"/>
      <c r="AN126" s="22">
        <v>0</v>
      </c>
      <c r="AO126" s="22"/>
      <c r="AP126" s="22">
        <v>0</v>
      </c>
      <c r="AQ126" s="22"/>
      <c r="AR126" s="22">
        <v>0</v>
      </c>
      <c r="AS126" s="22"/>
      <c r="AT126" s="22">
        <v>0</v>
      </c>
      <c r="AU126" s="22"/>
      <c r="AV126" s="22">
        <v>0</v>
      </c>
      <c r="AW126" s="22"/>
      <c r="AX126" s="22">
        <v>0</v>
      </c>
      <c r="AY126" s="22"/>
      <c r="AZ126" s="22">
        <v>0</v>
      </c>
      <c r="BA126" s="22"/>
      <c r="BB126" s="22">
        <v>0</v>
      </c>
      <c r="BC126" s="22"/>
      <c r="BD126" s="22">
        <v>0</v>
      </c>
      <c r="BE126" s="22"/>
      <c r="BF126" s="22">
        <v>0</v>
      </c>
      <c r="BG126" s="22"/>
      <c r="BH126" s="22">
        <v>0</v>
      </c>
      <c r="BI126" s="22"/>
      <c r="BJ126" s="22">
        <v>0</v>
      </c>
      <c r="BK126" s="22"/>
      <c r="BL126" s="22">
        <v>0</v>
      </c>
      <c r="BM126" s="22"/>
      <c r="BN126" s="22">
        <f t="shared" si="27"/>
        <v>0</v>
      </c>
      <c r="BO126" s="22"/>
      <c r="BP126" s="22">
        <v>0</v>
      </c>
      <c r="BQ126" s="22"/>
      <c r="BR126" s="22">
        <f t="shared" si="28"/>
        <v>0</v>
      </c>
      <c r="BS126" s="22"/>
      <c r="BT126" s="6">
        <f t="shared" si="29"/>
        <v>0</v>
      </c>
      <c r="BU126" s="22"/>
      <c r="BV126" s="6">
        <f t="shared" si="30"/>
        <v>0</v>
      </c>
      <c r="BW126" s="22"/>
    </row>
    <row r="127" spans="1:75" s="15" customFormat="1" hidden="1">
      <c r="A127" s="62"/>
      <c r="B127" s="17" t="s">
        <v>168</v>
      </c>
      <c r="C127"/>
      <c r="D127"/>
      <c r="E127"/>
      <c r="F127"/>
      <c r="G127"/>
      <c r="H127"/>
      <c r="I127"/>
      <c r="J127" s="49"/>
      <c r="K127"/>
      <c r="L127" s="132" t="s">
        <v>202</v>
      </c>
      <c r="M127" s="22"/>
      <c r="N127" s="22">
        <v>0</v>
      </c>
      <c r="O127" s="22"/>
      <c r="P127" s="22">
        <v>0</v>
      </c>
      <c r="Q127" s="22"/>
      <c r="R127" s="6">
        <f t="shared" si="26"/>
        <v>0</v>
      </c>
      <c r="S127" s="22"/>
      <c r="T127" s="22">
        <v>0</v>
      </c>
      <c r="U127" s="22"/>
      <c r="V127" s="22">
        <v>0</v>
      </c>
      <c r="W127" s="22"/>
      <c r="X127" s="22">
        <v>0</v>
      </c>
      <c r="Y127" s="22"/>
      <c r="Z127" s="22">
        <v>0</v>
      </c>
      <c r="AA127" s="22"/>
      <c r="AB127" s="22">
        <v>0</v>
      </c>
      <c r="AC127" s="22"/>
      <c r="AD127" s="22">
        <v>0</v>
      </c>
      <c r="AE127" s="22"/>
      <c r="AF127" s="22">
        <v>0</v>
      </c>
      <c r="AG127" s="22"/>
      <c r="AH127" s="22">
        <v>0</v>
      </c>
      <c r="AI127" s="22"/>
      <c r="AJ127" s="22">
        <v>0</v>
      </c>
      <c r="AK127" s="22"/>
      <c r="AL127" s="22"/>
      <c r="AM127" s="22"/>
      <c r="AN127" s="22">
        <v>0</v>
      </c>
      <c r="AO127" s="22"/>
      <c r="AP127" s="22">
        <v>0</v>
      </c>
      <c r="AQ127" s="22"/>
      <c r="AR127" s="22">
        <v>0</v>
      </c>
      <c r="AS127" s="22"/>
      <c r="AT127" s="22">
        <v>0</v>
      </c>
      <c r="AU127" s="22"/>
      <c r="AV127" s="22">
        <v>0</v>
      </c>
      <c r="AW127" s="22"/>
      <c r="AX127" s="22">
        <v>0</v>
      </c>
      <c r="AY127" s="22"/>
      <c r="AZ127" s="22">
        <v>0</v>
      </c>
      <c r="BA127" s="22"/>
      <c r="BB127" s="22">
        <v>0</v>
      </c>
      <c r="BC127" s="22"/>
      <c r="BD127" s="22">
        <v>0</v>
      </c>
      <c r="BE127" s="22"/>
      <c r="BF127" s="22">
        <v>0</v>
      </c>
      <c r="BG127" s="22"/>
      <c r="BH127" s="22">
        <v>0</v>
      </c>
      <c r="BI127" s="22"/>
      <c r="BJ127" s="22">
        <v>0</v>
      </c>
      <c r="BK127" s="22"/>
      <c r="BL127" s="22">
        <v>0</v>
      </c>
      <c r="BM127" s="22"/>
      <c r="BN127" s="22">
        <f t="shared" si="27"/>
        <v>0</v>
      </c>
      <c r="BO127" s="22"/>
      <c r="BP127" s="22">
        <v>0</v>
      </c>
      <c r="BQ127" s="22"/>
      <c r="BR127" s="22">
        <f t="shared" si="28"/>
        <v>0</v>
      </c>
      <c r="BS127" s="22"/>
      <c r="BT127" s="6">
        <f t="shared" si="29"/>
        <v>0</v>
      </c>
      <c r="BU127" s="22"/>
      <c r="BV127" s="6">
        <f t="shared" si="30"/>
        <v>0</v>
      </c>
      <c r="BW127" s="22"/>
    </row>
    <row r="128" spans="1:75" s="109" customFormat="1" hidden="1">
      <c r="A128" s="77"/>
      <c r="B128" s="17" t="s">
        <v>23</v>
      </c>
      <c r="C128" s="30"/>
      <c r="D128" s="30"/>
      <c r="E128" s="30"/>
      <c r="F128" s="30"/>
      <c r="G128" s="30"/>
      <c r="H128" s="30"/>
      <c r="I128" s="30"/>
      <c r="J128" s="153"/>
      <c r="K128" s="30"/>
      <c r="L128" s="132" t="s">
        <v>202</v>
      </c>
      <c r="M128" s="80"/>
      <c r="N128" s="80">
        <v>0</v>
      </c>
      <c r="O128" s="80"/>
      <c r="P128" s="80">
        <v>0</v>
      </c>
      <c r="Q128" s="80"/>
      <c r="R128" s="6">
        <f t="shared" si="26"/>
        <v>0</v>
      </c>
      <c r="S128" s="80"/>
      <c r="T128" s="80">
        <v>0</v>
      </c>
      <c r="U128" s="80"/>
      <c r="V128" s="80">
        <v>0</v>
      </c>
      <c r="W128" s="80"/>
      <c r="X128" s="80">
        <v>0</v>
      </c>
      <c r="Y128" s="80"/>
      <c r="Z128" s="80">
        <v>0</v>
      </c>
      <c r="AA128" s="80"/>
      <c r="AB128" s="80">
        <v>0</v>
      </c>
      <c r="AC128" s="80"/>
      <c r="AD128" s="80">
        <v>0</v>
      </c>
      <c r="AE128" s="80"/>
      <c r="AF128" s="80">
        <v>0</v>
      </c>
      <c r="AG128" s="80"/>
      <c r="AH128" s="80">
        <v>0</v>
      </c>
      <c r="AI128" s="80"/>
      <c r="AJ128" s="80">
        <v>0</v>
      </c>
      <c r="AK128" s="80"/>
      <c r="AL128" s="80"/>
      <c r="AM128" s="80"/>
      <c r="AN128" s="80">
        <v>0</v>
      </c>
      <c r="AO128" s="80"/>
      <c r="AP128" s="80">
        <v>0</v>
      </c>
      <c r="AQ128" s="80"/>
      <c r="AR128" s="80">
        <v>0</v>
      </c>
      <c r="AS128" s="80"/>
      <c r="AT128" s="80">
        <v>0</v>
      </c>
      <c r="AU128" s="80"/>
      <c r="AV128" s="80">
        <v>0</v>
      </c>
      <c r="AW128" s="80"/>
      <c r="AX128" s="80">
        <v>0</v>
      </c>
      <c r="AY128" s="80"/>
      <c r="AZ128" s="80">
        <v>0</v>
      </c>
      <c r="BA128" s="80"/>
      <c r="BB128" s="80">
        <v>0</v>
      </c>
      <c r="BC128" s="80"/>
      <c r="BD128" s="80">
        <v>0</v>
      </c>
      <c r="BE128" s="80"/>
      <c r="BF128" s="80">
        <v>0</v>
      </c>
      <c r="BG128" s="80"/>
      <c r="BH128" s="80">
        <v>0</v>
      </c>
      <c r="BI128" s="80"/>
      <c r="BJ128" s="80">
        <v>0</v>
      </c>
      <c r="BK128" s="80"/>
      <c r="BL128" s="80">
        <v>0</v>
      </c>
      <c r="BM128" s="80"/>
      <c r="BN128" s="80">
        <f t="shared" si="27"/>
        <v>0</v>
      </c>
      <c r="BO128" s="80"/>
      <c r="BP128" s="80">
        <v>0</v>
      </c>
      <c r="BQ128" s="80"/>
      <c r="BR128" s="80">
        <f t="shared" si="28"/>
        <v>0</v>
      </c>
      <c r="BS128" s="80"/>
      <c r="BT128" s="6">
        <f t="shared" si="29"/>
        <v>0</v>
      </c>
      <c r="BU128" s="80"/>
      <c r="BV128" s="6">
        <f t="shared" si="30"/>
        <v>0</v>
      </c>
      <c r="BW128" s="80"/>
    </row>
    <row r="129" spans="1:75" s="109" customFormat="1" hidden="1">
      <c r="A129" s="77"/>
      <c r="B129" s="17" t="s">
        <v>121</v>
      </c>
      <c r="C129" s="30"/>
      <c r="D129" s="30"/>
      <c r="E129" s="30"/>
      <c r="F129" s="30"/>
      <c r="G129" s="30"/>
      <c r="H129" s="30"/>
      <c r="I129" s="30"/>
      <c r="J129" s="153"/>
      <c r="K129" s="30"/>
      <c r="L129" s="132" t="s">
        <v>202</v>
      </c>
      <c r="M129" s="80"/>
      <c r="N129" s="80">
        <v>0</v>
      </c>
      <c r="O129" s="80"/>
      <c r="P129" s="80">
        <v>0</v>
      </c>
      <c r="Q129" s="80"/>
      <c r="R129" s="6">
        <f t="shared" si="26"/>
        <v>0</v>
      </c>
      <c r="S129" s="80"/>
      <c r="T129" s="80">
        <v>0</v>
      </c>
      <c r="U129" s="80"/>
      <c r="V129" s="80">
        <v>0</v>
      </c>
      <c r="W129" s="80"/>
      <c r="X129" s="80">
        <v>0</v>
      </c>
      <c r="Y129" s="80"/>
      <c r="Z129" s="80">
        <v>0</v>
      </c>
      <c r="AA129" s="80"/>
      <c r="AB129" s="80">
        <v>0</v>
      </c>
      <c r="AC129" s="80"/>
      <c r="AD129" s="80">
        <v>0</v>
      </c>
      <c r="AE129" s="80"/>
      <c r="AF129" s="80">
        <v>0</v>
      </c>
      <c r="AG129" s="80"/>
      <c r="AH129" s="80">
        <v>0</v>
      </c>
      <c r="AI129" s="80"/>
      <c r="AJ129" s="80">
        <v>0</v>
      </c>
      <c r="AK129" s="80"/>
      <c r="AL129" s="80"/>
      <c r="AM129" s="80"/>
      <c r="AN129" s="80">
        <v>0</v>
      </c>
      <c r="AO129" s="80"/>
      <c r="AP129" s="80">
        <v>0</v>
      </c>
      <c r="AQ129" s="80"/>
      <c r="AR129" s="80">
        <v>0</v>
      </c>
      <c r="AS129" s="80"/>
      <c r="AT129" s="80">
        <v>0</v>
      </c>
      <c r="AU129" s="80"/>
      <c r="AV129" s="80">
        <v>0</v>
      </c>
      <c r="AW129" s="80"/>
      <c r="AX129" s="80">
        <v>0</v>
      </c>
      <c r="AY129" s="80"/>
      <c r="AZ129" s="80">
        <v>0</v>
      </c>
      <c r="BA129" s="80"/>
      <c r="BB129" s="80">
        <v>0</v>
      </c>
      <c r="BC129" s="80"/>
      <c r="BD129" s="80">
        <v>0</v>
      </c>
      <c r="BE129" s="80"/>
      <c r="BF129" s="80">
        <v>0</v>
      </c>
      <c r="BG129" s="80"/>
      <c r="BH129" s="80">
        <v>0</v>
      </c>
      <c r="BI129" s="80"/>
      <c r="BJ129" s="80">
        <v>0</v>
      </c>
      <c r="BK129" s="80"/>
      <c r="BL129" s="80">
        <v>0</v>
      </c>
      <c r="BM129" s="80"/>
      <c r="BN129" s="80">
        <f t="shared" si="27"/>
        <v>0</v>
      </c>
      <c r="BO129" s="80"/>
      <c r="BP129" s="80">
        <v>0</v>
      </c>
      <c r="BQ129" s="80"/>
      <c r="BR129" s="80">
        <f t="shared" si="28"/>
        <v>0</v>
      </c>
      <c r="BS129" s="80"/>
      <c r="BT129" s="6">
        <f t="shared" si="29"/>
        <v>0</v>
      </c>
      <c r="BU129" s="80"/>
      <c r="BV129" s="6">
        <f t="shared" si="30"/>
        <v>0</v>
      </c>
      <c r="BW129" s="80"/>
    </row>
    <row r="130" spans="1:75" s="109" customFormat="1" hidden="1">
      <c r="A130" s="77"/>
      <c r="B130" s="17"/>
      <c r="C130" s="30"/>
      <c r="D130" s="30"/>
      <c r="E130" s="30"/>
      <c r="F130" s="30"/>
      <c r="G130" s="30"/>
      <c r="H130" s="30"/>
      <c r="I130" s="30"/>
      <c r="J130" s="153"/>
      <c r="K130" s="30"/>
      <c r="L130" s="139"/>
      <c r="M130" s="80"/>
      <c r="N130" s="80"/>
      <c r="O130" s="80"/>
      <c r="P130" s="80"/>
      <c r="Q130" s="80"/>
      <c r="R130" s="80"/>
      <c r="S130" s="80"/>
      <c r="T130" s="80"/>
      <c r="U130" s="80"/>
      <c r="V130" s="80"/>
      <c r="W130" s="80"/>
      <c r="X130" s="80"/>
      <c r="Y130" s="80"/>
      <c r="Z130" s="80"/>
      <c r="AA130" s="80"/>
      <c r="AB130" s="80"/>
      <c r="AC130" s="80"/>
      <c r="AD130" s="80"/>
      <c r="AE130" s="80"/>
      <c r="AF130" s="80"/>
      <c r="AG130" s="80"/>
      <c r="AH130" s="80"/>
      <c r="AI130" s="80"/>
      <c r="AJ130" s="80"/>
      <c r="AK130" s="80"/>
      <c r="AL130" s="80"/>
      <c r="AM130" s="80"/>
      <c r="AN130" s="80"/>
      <c r="AO130" s="80"/>
      <c r="AP130" s="80"/>
      <c r="AQ130" s="80"/>
      <c r="AR130" s="80"/>
      <c r="AS130" s="80"/>
      <c r="AT130" s="80"/>
      <c r="AU130" s="80"/>
      <c r="AV130" s="80"/>
      <c r="AW130" s="80"/>
      <c r="AX130" s="80"/>
      <c r="AY130" s="80"/>
      <c r="AZ130" s="80"/>
      <c r="BA130" s="80"/>
      <c r="BB130" s="80"/>
      <c r="BC130" s="80"/>
      <c r="BD130" s="80"/>
      <c r="BE130" s="80"/>
      <c r="BF130" s="80"/>
      <c r="BG130" s="80"/>
      <c r="BH130" s="80"/>
      <c r="BI130" s="80"/>
      <c r="BJ130" s="80"/>
      <c r="BK130" s="80"/>
      <c r="BL130" s="80"/>
      <c r="BM130" s="80"/>
      <c r="BN130" s="80"/>
      <c r="BO130" s="80"/>
      <c r="BP130" s="80"/>
      <c r="BQ130" s="80"/>
      <c r="BR130" s="80"/>
      <c r="BS130" s="80"/>
      <c r="BT130" s="80"/>
      <c r="BU130" s="80"/>
      <c r="BV130" s="80"/>
      <c r="BW130" s="80"/>
    </row>
    <row r="131" spans="1:75" s="104" customFormat="1" hidden="1">
      <c r="A131" s="111"/>
      <c r="B131" s="77" t="s">
        <v>24</v>
      </c>
      <c r="C131" s="21"/>
      <c r="D131" s="21"/>
      <c r="E131" s="21"/>
      <c r="F131" s="21"/>
      <c r="G131" s="21"/>
      <c r="H131" s="21"/>
      <c r="I131" s="21"/>
      <c r="J131" s="8"/>
      <c r="K131" s="21"/>
      <c r="L131" s="141"/>
      <c r="M131" s="16"/>
      <c r="N131" s="108">
        <f>SUM(N120:N130)</f>
        <v>0</v>
      </c>
      <c r="O131" s="16"/>
      <c r="P131" s="108">
        <f>SUM(P120:P130)</f>
        <v>0</v>
      </c>
      <c r="Q131" s="16"/>
      <c r="R131" s="108">
        <f>SUM(R120:R130)</f>
        <v>0</v>
      </c>
      <c r="S131" s="16"/>
      <c r="T131" s="108">
        <f>SUM(T120:T130)</f>
        <v>0</v>
      </c>
      <c r="U131" s="16"/>
      <c r="V131" s="108">
        <f>SUM(V120:V130)</f>
        <v>0</v>
      </c>
      <c r="W131" s="16"/>
      <c r="X131" s="108">
        <f>SUM(X120:X130)</f>
        <v>0</v>
      </c>
      <c r="Y131" s="16"/>
      <c r="Z131" s="108">
        <f>SUM(Z120:Z130)</f>
        <v>0</v>
      </c>
      <c r="AA131" s="16"/>
      <c r="AB131" s="108">
        <f>SUM(AB120:AB130)</f>
        <v>0</v>
      </c>
      <c r="AC131" s="16"/>
      <c r="AD131" s="108">
        <f>SUM(AD120:AD130)</f>
        <v>0</v>
      </c>
      <c r="AE131" s="16"/>
      <c r="AF131" s="108">
        <f>SUM(AF120:AF130)</f>
        <v>0</v>
      </c>
      <c r="AG131" s="16"/>
      <c r="AH131" s="108">
        <f>SUM(AH120:AH130)</f>
        <v>0</v>
      </c>
      <c r="AI131" s="16"/>
      <c r="AJ131" s="108">
        <f>SUM(AJ120:AJ130)</f>
        <v>0</v>
      </c>
      <c r="AK131" s="16"/>
      <c r="AL131" s="108"/>
      <c r="AM131" s="16"/>
      <c r="AN131" s="108">
        <f>SUM(AN120:AN130)</f>
        <v>0</v>
      </c>
      <c r="AO131" s="16"/>
      <c r="AP131" s="108">
        <f>SUM(AP120:AP130)</f>
        <v>0</v>
      </c>
      <c r="AQ131" s="16"/>
      <c r="AR131" s="108">
        <f>SUM(AR120:AR130)</f>
        <v>0</v>
      </c>
      <c r="AS131" s="16"/>
      <c r="AT131" s="108">
        <f>SUM(AT120:AT130)</f>
        <v>0</v>
      </c>
      <c r="AU131" s="16"/>
      <c r="AV131" s="108">
        <f>SUM(AV120:AV130)</f>
        <v>0</v>
      </c>
      <c r="AW131" s="103"/>
      <c r="AX131" s="108">
        <f>SUM(AX120:AX130)</f>
        <v>0</v>
      </c>
      <c r="AY131" s="103"/>
      <c r="AZ131" s="108">
        <f>SUM(AZ120:AZ130)</f>
        <v>0</v>
      </c>
      <c r="BA131" s="103"/>
      <c r="BB131" s="108">
        <f>SUM(BB120:BB130)</f>
        <v>0</v>
      </c>
      <c r="BC131" s="103"/>
      <c r="BD131" s="108">
        <f>SUM(BD120:BD130)</f>
        <v>0</v>
      </c>
      <c r="BE131" s="103"/>
      <c r="BF131" s="108">
        <f>SUM(BF120:BF130)</f>
        <v>0</v>
      </c>
      <c r="BG131" s="103"/>
      <c r="BH131" s="108">
        <f>SUM(BH120:BH130)</f>
        <v>0</v>
      </c>
      <c r="BI131" s="103"/>
      <c r="BJ131" s="108">
        <f>SUM(BJ120:BJ130)</f>
        <v>0</v>
      </c>
      <c r="BK131" s="103"/>
      <c r="BL131" s="108">
        <f>SUM(BL120:BL130)</f>
        <v>0</v>
      </c>
      <c r="BM131" s="16"/>
      <c r="BN131" s="108">
        <f>SUM(BN120:BN130)</f>
        <v>0</v>
      </c>
      <c r="BO131" s="16"/>
      <c r="BP131" s="108">
        <f>SUM(BP120:BP130)</f>
        <v>0</v>
      </c>
      <c r="BQ131" s="16"/>
      <c r="BR131" s="108">
        <f>SUM(BR120:BR130)</f>
        <v>0</v>
      </c>
      <c r="BS131" s="16"/>
      <c r="BT131" s="108">
        <f>SUM(BT120:BT130)</f>
        <v>0</v>
      </c>
      <c r="BU131" s="16"/>
      <c r="BV131" s="108">
        <f>SUM(BV120:BV130)</f>
        <v>0</v>
      </c>
      <c r="BW131" s="103"/>
    </row>
    <row r="132" spans="1:75" s="15" customFormat="1" hidden="1">
      <c r="A132" s="14"/>
      <c r="B132" s="60"/>
      <c r="C132"/>
      <c r="D132"/>
      <c r="E132"/>
      <c r="F132"/>
      <c r="G132"/>
      <c r="H132"/>
      <c r="I132"/>
      <c r="J132" s="49"/>
      <c r="K132"/>
      <c r="L132" s="13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  <c r="BJ132" s="22"/>
      <c r="BK132" s="22"/>
      <c r="BL132" s="22"/>
      <c r="BM132" s="22"/>
      <c r="BN132" s="22"/>
      <c r="BO132" s="22"/>
      <c r="BP132" s="22"/>
      <c r="BQ132" s="22"/>
      <c r="BR132" s="22"/>
      <c r="BS132" s="22"/>
      <c r="BT132" s="22"/>
      <c r="BU132" s="22"/>
      <c r="BV132" s="22"/>
      <c r="BW132" s="22"/>
    </row>
    <row r="133" spans="1:75" s="15" customFormat="1">
      <c r="A133" s="14"/>
      <c r="B133" s="60"/>
      <c r="C133"/>
      <c r="D133"/>
      <c r="E133"/>
      <c r="F133"/>
      <c r="G133"/>
      <c r="H133"/>
      <c r="I133"/>
      <c r="J133" s="49"/>
      <c r="K133"/>
      <c r="L133" s="13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  <c r="BJ133" s="22"/>
      <c r="BK133" s="22"/>
      <c r="BL133" s="22"/>
      <c r="BM133" s="22"/>
      <c r="BN133" s="22"/>
      <c r="BO133" s="22"/>
      <c r="BP133" s="22"/>
      <c r="BQ133" s="22"/>
      <c r="BR133" s="22"/>
      <c r="BS133" s="22"/>
      <c r="BT133" s="22"/>
      <c r="BU133" s="22"/>
      <c r="BV133" s="22"/>
      <c r="BW133" s="22"/>
    </row>
    <row r="134" spans="1:75">
      <c r="A134" s="56" t="s">
        <v>25</v>
      </c>
      <c r="B134" s="58"/>
      <c r="C134"/>
      <c r="D134"/>
      <c r="E134"/>
      <c r="F134"/>
      <c r="G134"/>
      <c r="H134"/>
      <c r="I134"/>
      <c r="J134" s="49"/>
      <c r="K134"/>
      <c r="L134" s="132"/>
      <c r="M134" s="22"/>
      <c r="O134" s="22"/>
      <c r="Q134" s="22"/>
      <c r="S134" s="22"/>
      <c r="T134" s="6"/>
      <c r="U134" s="6"/>
      <c r="V134" s="6"/>
      <c r="X134" s="6"/>
      <c r="Z134" s="6"/>
      <c r="AB134" s="6"/>
      <c r="AD134" s="6"/>
      <c r="BL134" s="6"/>
      <c r="BM134" s="6"/>
      <c r="BO134" s="6"/>
      <c r="BP134" s="6"/>
      <c r="BQ134" s="6"/>
      <c r="BS134" s="22"/>
      <c r="BU134" s="22"/>
      <c r="BW134" s="6"/>
    </row>
    <row r="135" spans="1:75">
      <c r="A135" s="61"/>
      <c r="B135" s="17" t="s">
        <v>377</v>
      </c>
      <c r="E135" s="4"/>
      <c r="G135" s="4"/>
      <c r="I135" s="4"/>
      <c r="J135" s="5" t="s">
        <v>0</v>
      </c>
      <c r="L135" s="132" t="s">
        <v>202</v>
      </c>
      <c r="M135" s="22"/>
      <c r="N135" s="6">
        <v>0</v>
      </c>
      <c r="O135" s="22"/>
      <c r="P135" s="6">
        <v>0</v>
      </c>
      <c r="Q135" s="22"/>
      <c r="R135" s="6">
        <v>0</v>
      </c>
      <c r="S135" s="22"/>
      <c r="T135" s="6">
        <v>0</v>
      </c>
      <c r="U135" s="6"/>
      <c r="V135" s="6">
        <v>0</v>
      </c>
      <c r="X135" s="6">
        <v>0</v>
      </c>
      <c r="Z135" s="6">
        <v>0</v>
      </c>
      <c r="AB135" s="6">
        <v>0</v>
      </c>
      <c r="AD135" s="6">
        <v>0</v>
      </c>
      <c r="AF135" s="6">
        <v>0</v>
      </c>
      <c r="AH135" s="6">
        <v>0</v>
      </c>
      <c r="AJ135" s="6">
        <v>0</v>
      </c>
      <c r="AN135" s="6">
        <v>0</v>
      </c>
      <c r="AP135" s="6">
        <v>0</v>
      </c>
      <c r="AR135" s="6">
        <v>0</v>
      </c>
      <c r="AT135" s="6">
        <v>0</v>
      </c>
      <c r="AV135" s="6">
        <v>0</v>
      </c>
      <c r="AX135" s="6">
        <v>0</v>
      </c>
      <c r="AZ135" s="6">
        <v>0</v>
      </c>
      <c r="BB135" s="6">
        <v>0</v>
      </c>
      <c r="BD135" s="6">
        <v>0</v>
      </c>
      <c r="BF135" s="6">
        <v>0</v>
      </c>
      <c r="BH135" s="6">
        <v>0</v>
      </c>
      <c r="BJ135" s="6">
        <v>0</v>
      </c>
      <c r="BL135" s="6">
        <v>0</v>
      </c>
      <c r="BM135" s="6"/>
      <c r="BN135" s="6">
        <f>SUM(T135:BM135)</f>
        <v>0</v>
      </c>
      <c r="BO135" s="6"/>
      <c r="BP135" s="6">
        <v>0</v>
      </c>
      <c r="BQ135" s="6"/>
      <c r="BR135" s="6">
        <f>IF(+R135-BN135+BP135&gt;0,R135-BN135+BP135,0)</f>
        <v>0</v>
      </c>
      <c r="BS135" s="22"/>
      <c r="BT135" s="6">
        <f>+BN135+BR135</f>
        <v>0</v>
      </c>
      <c r="BU135" s="22"/>
      <c r="BV135" s="6">
        <f>+R135-BT135</f>
        <v>0</v>
      </c>
      <c r="BW135" s="6"/>
    </row>
    <row r="136" spans="1:75">
      <c r="A136" s="61"/>
      <c r="B136" s="17" t="s">
        <v>378</v>
      </c>
      <c r="E136" s="4"/>
      <c r="G136" s="4"/>
      <c r="I136" s="4"/>
      <c r="L136" s="132" t="s">
        <v>202</v>
      </c>
      <c r="M136" s="22"/>
      <c r="N136" s="6">
        <v>0</v>
      </c>
      <c r="O136" s="22"/>
      <c r="P136" s="6">
        <v>0</v>
      </c>
      <c r="Q136" s="22"/>
      <c r="R136" s="6">
        <f>+N136+P136</f>
        <v>0</v>
      </c>
      <c r="S136" s="22"/>
      <c r="T136" s="6">
        <v>0</v>
      </c>
      <c r="U136" s="6"/>
      <c r="V136" s="6">
        <v>0</v>
      </c>
      <c r="X136" s="6">
        <v>0</v>
      </c>
      <c r="Z136" s="6">
        <v>0</v>
      </c>
      <c r="AB136" s="6">
        <v>0</v>
      </c>
      <c r="AD136" s="6">
        <v>0</v>
      </c>
      <c r="AF136" s="6">
        <v>0</v>
      </c>
      <c r="AH136" s="6">
        <v>0</v>
      </c>
      <c r="AJ136" s="6">
        <v>0</v>
      </c>
      <c r="AN136" s="6">
        <v>0</v>
      </c>
      <c r="AP136" s="6">
        <v>0</v>
      </c>
      <c r="AR136" s="6">
        <v>0</v>
      </c>
      <c r="AT136" s="6">
        <v>0</v>
      </c>
      <c r="AV136" s="6">
        <v>0</v>
      </c>
      <c r="AX136" s="6">
        <v>0</v>
      </c>
      <c r="AZ136" s="6">
        <v>0</v>
      </c>
      <c r="BB136" s="6">
        <v>0</v>
      </c>
      <c r="BD136" s="6">
        <v>0</v>
      </c>
      <c r="BF136" s="6">
        <v>0</v>
      </c>
      <c r="BH136" s="6">
        <v>0</v>
      </c>
      <c r="BJ136" s="6">
        <v>0</v>
      </c>
      <c r="BL136" s="6">
        <v>0</v>
      </c>
      <c r="BM136" s="6"/>
      <c r="BN136" s="6">
        <f>SUM(T136:BM136)</f>
        <v>0</v>
      </c>
      <c r="BO136" s="6"/>
      <c r="BP136" s="6">
        <v>0</v>
      </c>
      <c r="BQ136" s="6"/>
      <c r="BR136" s="6">
        <f>+R136-BN136+BP136</f>
        <v>0</v>
      </c>
      <c r="BS136" s="22"/>
      <c r="BT136" s="6">
        <f>+BN136+BR136</f>
        <v>0</v>
      </c>
      <c r="BU136" s="22"/>
      <c r="BV136" s="6">
        <f>+R136-BT136</f>
        <v>0</v>
      </c>
      <c r="BW136" s="6"/>
    </row>
    <row r="137" spans="1:75" hidden="1">
      <c r="A137" s="61"/>
      <c r="B137" s="17" t="s">
        <v>121</v>
      </c>
      <c r="E137" s="4"/>
      <c r="G137" s="4"/>
      <c r="I137" s="4"/>
      <c r="L137" s="132" t="s">
        <v>202</v>
      </c>
      <c r="M137" s="22"/>
      <c r="N137" s="6">
        <v>0</v>
      </c>
      <c r="O137" s="22"/>
      <c r="P137" s="6">
        <v>0</v>
      </c>
      <c r="Q137" s="22"/>
      <c r="R137" s="6">
        <v>0</v>
      </c>
      <c r="S137" s="22"/>
      <c r="T137" s="6">
        <v>0</v>
      </c>
      <c r="U137" s="6"/>
      <c r="V137" s="6">
        <v>0</v>
      </c>
      <c r="X137" s="6">
        <v>0</v>
      </c>
      <c r="Z137" s="6">
        <v>0</v>
      </c>
      <c r="AB137" s="6">
        <v>0</v>
      </c>
      <c r="AD137" s="6">
        <v>0</v>
      </c>
      <c r="AF137" s="6">
        <v>0</v>
      </c>
      <c r="AH137" s="6">
        <v>0</v>
      </c>
      <c r="AJ137" s="6">
        <v>0</v>
      </c>
      <c r="AN137" s="6">
        <v>0</v>
      </c>
      <c r="AP137" s="6">
        <v>0</v>
      </c>
      <c r="AR137" s="6">
        <v>0</v>
      </c>
      <c r="AT137" s="6">
        <v>0</v>
      </c>
      <c r="AV137" s="6">
        <v>0</v>
      </c>
      <c r="AX137" s="6">
        <v>0</v>
      </c>
      <c r="AZ137" s="6">
        <v>0</v>
      </c>
      <c r="BB137" s="6">
        <v>0</v>
      </c>
      <c r="BD137" s="6">
        <v>0</v>
      </c>
      <c r="BF137" s="6">
        <v>0</v>
      </c>
      <c r="BH137" s="6">
        <v>0</v>
      </c>
      <c r="BJ137" s="6">
        <v>0</v>
      </c>
      <c r="BL137" s="6">
        <v>0</v>
      </c>
      <c r="BM137" s="6"/>
      <c r="BN137" s="6">
        <f>SUM(T137:BM137)</f>
        <v>0</v>
      </c>
      <c r="BO137" s="6"/>
      <c r="BP137" s="6">
        <v>0</v>
      </c>
      <c r="BQ137" s="6"/>
      <c r="BR137" s="6">
        <f>+R137-BN137+BP137</f>
        <v>0</v>
      </c>
      <c r="BS137" s="22"/>
      <c r="BT137" s="6">
        <f>+BN137+BR137</f>
        <v>0</v>
      </c>
      <c r="BU137" s="22"/>
      <c r="BV137" s="6">
        <f>+R137-BT137</f>
        <v>0</v>
      </c>
      <c r="BW137" s="6"/>
    </row>
    <row r="138" spans="1:75" s="21" customFormat="1">
      <c r="A138" s="56"/>
      <c r="B138" s="58" t="s">
        <v>247</v>
      </c>
      <c r="J138" s="8"/>
      <c r="L138" s="141"/>
      <c r="M138" s="16"/>
      <c r="N138" s="102">
        <f>SUM(N135:N137)</f>
        <v>0</v>
      </c>
      <c r="O138" s="16"/>
      <c r="P138" s="102">
        <f>SUM(P135:P137)</f>
        <v>0</v>
      </c>
      <c r="Q138" s="16"/>
      <c r="R138" s="102">
        <f>SUM(R135:R137)</f>
        <v>0</v>
      </c>
      <c r="S138" s="16"/>
      <c r="T138" s="102">
        <f>SUM(T135:T137)</f>
        <v>0</v>
      </c>
      <c r="U138" s="9"/>
      <c r="V138" s="102">
        <f>SUM(V135:V137)</f>
        <v>0</v>
      </c>
      <c r="W138" s="9"/>
      <c r="X138" s="102">
        <f>SUM(X135:X137)</f>
        <v>0</v>
      </c>
      <c r="Y138" s="9"/>
      <c r="Z138" s="102">
        <f>SUM(Z135:Z137)</f>
        <v>0</v>
      </c>
      <c r="AA138" s="9"/>
      <c r="AB138" s="102">
        <f>SUM(AB135:AB137)</f>
        <v>0</v>
      </c>
      <c r="AC138" s="9"/>
      <c r="AD138" s="102">
        <f>SUM(AD135:AD137)</f>
        <v>0</v>
      </c>
      <c r="AE138" s="9"/>
      <c r="AF138" s="102">
        <f>SUM(AF135:AF137)</f>
        <v>0</v>
      </c>
      <c r="AG138" s="9"/>
      <c r="AH138" s="102">
        <f>SUM(AH135:AH137)</f>
        <v>0</v>
      </c>
      <c r="AI138" s="9"/>
      <c r="AJ138" s="102">
        <f>SUM(AJ135:AJ137)</f>
        <v>0</v>
      </c>
      <c r="AK138" s="9"/>
      <c r="AL138" s="102">
        <f>SUM(AL135:AL137)</f>
        <v>0</v>
      </c>
      <c r="AM138" s="102"/>
      <c r="AN138" s="102">
        <f>SUM(AN135:AN137)</f>
        <v>0</v>
      </c>
      <c r="AO138" s="9"/>
      <c r="AP138" s="102">
        <f>SUM(AP135:AP137)</f>
        <v>0</v>
      </c>
      <c r="AQ138" s="9"/>
      <c r="AR138" s="102">
        <f>SUM(AR135:AR137)</f>
        <v>0</v>
      </c>
      <c r="AS138" s="9"/>
      <c r="AT138" s="102">
        <f>SUM(AT135:AT137)</f>
        <v>0</v>
      </c>
      <c r="AU138" s="9"/>
      <c r="AV138" s="102">
        <f>SUM(AV135:AV137)</f>
        <v>0</v>
      </c>
      <c r="AW138" s="10"/>
      <c r="AX138" s="102">
        <f>SUM(AX135:AX137)</f>
        <v>0</v>
      </c>
      <c r="AY138" s="10"/>
      <c r="AZ138" s="102">
        <f>SUM(AZ135:AZ137)</f>
        <v>0</v>
      </c>
      <c r="BA138" s="10"/>
      <c r="BB138" s="102">
        <f>SUM(BB135:BB137)</f>
        <v>0</v>
      </c>
      <c r="BC138" s="10"/>
      <c r="BD138" s="102">
        <f>SUM(BD135:BD137)</f>
        <v>0</v>
      </c>
      <c r="BE138" s="10"/>
      <c r="BF138" s="102">
        <f>SUM(BF135:BF137)</f>
        <v>0</v>
      </c>
      <c r="BG138" s="10"/>
      <c r="BH138" s="102">
        <f>SUM(BH135:BH137)</f>
        <v>0</v>
      </c>
      <c r="BI138" s="10"/>
      <c r="BJ138" s="102">
        <f>SUM(BJ135:BJ137)</f>
        <v>0</v>
      </c>
      <c r="BK138" s="10"/>
      <c r="BL138" s="102">
        <f>SUM(BL135:BL137)</f>
        <v>0</v>
      </c>
      <c r="BM138" s="9"/>
      <c r="BN138" s="102">
        <f>SUM(BN135:BN137)</f>
        <v>0</v>
      </c>
      <c r="BO138" s="9"/>
      <c r="BP138" s="102">
        <f>SUM(BP135:BP137)</f>
        <v>0</v>
      </c>
      <c r="BQ138" s="9"/>
      <c r="BR138" s="102">
        <f>SUM(BR135:BR137)</f>
        <v>0</v>
      </c>
      <c r="BS138" s="16"/>
      <c r="BT138" s="102">
        <f>SUM(BT135:BT137)</f>
        <v>0</v>
      </c>
      <c r="BU138" s="16"/>
      <c r="BV138" s="102">
        <f>SUM(BV135:BV137)</f>
        <v>0</v>
      </c>
      <c r="BW138" s="9"/>
    </row>
    <row r="139" spans="1:75" s="21" customFormat="1">
      <c r="A139" s="56"/>
      <c r="B139" s="58"/>
      <c r="J139" s="8"/>
      <c r="L139" s="141"/>
      <c r="M139" s="16"/>
      <c r="N139" s="10"/>
      <c r="O139" s="16"/>
      <c r="P139" s="10"/>
      <c r="Q139" s="16"/>
      <c r="R139" s="10"/>
      <c r="S139" s="16"/>
      <c r="T139" s="10"/>
      <c r="U139" s="9"/>
      <c r="V139" s="10"/>
      <c r="W139" s="9"/>
      <c r="X139" s="10"/>
      <c r="Y139" s="9"/>
      <c r="Z139" s="10"/>
      <c r="AA139" s="9"/>
      <c r="AB139" s="10"/>
      <c r="AC139" s="9"/>
      <c r="AD139" s="10"/>
      <c r="AE139" s="9"/>
      <c r="AF139" s="10"/>
      <c r="AG139" s="9"/>
      <c r="AH139" s="10"/>
      <c r="AI139" s="9"/>
      <c r="AJ139" s="10"/>
      <c r="AK139" s="9"/>
      <c r="AL139" s="10"/>
      <c r="AM139" s="9"/>
      <c r="AN139" s="10"/>
      <c r="AO139" s="9"/>
      <c r="AP139" s="10"/>
      <c r="AQ139" s="9"/>
      <c r="AR139" s="10"/>
      <c r="AS139" s="9"/>
      <c r="AT139" s="10"/>
      <c r="AU139" s="9"/>
      <c r="AV139" s="10"/>
      <c r="AW139" s="10"/>
      <c r="AX139" s="10"/>
      <c r="AY139" s="10"/>
      <c r="AZ139" s="10"/>
      <c r="BA139" s="10"/>
      <c r="BB139" s="10"/>
      <c r="BC139" s="10"/>
      <c r="BD139" s="10"/>
      <c r="BE139" s="10"/>
      <c r="BF139" s="10"/>
      <c r="BG139" s="10"/>
      <c r="BH139" s="10"/>
      <c r="BI139" s="10"/>
      <c r="BJ139" s="10"/>
      <c r="BK139" s="10"/>
      <c r="BL139" s="10"/>
      <c r="BM139" s="9"/>
      <c r="BN139" s="10"/>
      <c r="BO139" s="9"/>
      <c r="BP139" s="10"/>
      <c r="BQ139" s="9"/>
      <c r="BR139" s="10"/>
      <c r="BS139" s="16"/>
      <c r="BT139" s="10"/>
      <c r="BU139" s="16"/>
      <c r="BV139" s="10"/>
      <c r="BW139" s="9"/>
    </row>
    <row r="140" spans="1:75" s="21" customFormat="1">
      <c r="A140" s="62" t="s">
        <v>120</v>
      </c>
      <c r="B140" s="58"/>
      <c r="J140" s="8" t="s">
        <v>0</v>
      </c>
      <c r="L140" s="141" t="s">
        <v>202</v>
      </c>
      <c r="M140" s="9"/>
      <c r="N140" s="9">
        <v>0</v>
      </c>
      <c r="O140" s="9"/>
      <c r="P140" s="9">
        <v>0</v>
      </c>
      <c r="Q140" s="9"/>
      <c r="R140" s="9">
        <v>0</v>
      </c>
      <c r="S140" s="9"/>
      <c r="T140" s="9">
        <v>0</v>
      </c>
      <c r="U140" s="9"/>
      <c r="V140" s="9">
        <v>0</v>
      </c>
      <c r="W140" s="9"/>
      <c r="X140" s="9">
        <v>0</v>
      </c>
      <c r="Y140" s="9"/>
      <c r="Z140" s="9">
        <v>0</v>
      </c>
      <c r="AA140" s="9"/>
      <c r="AB140" s="9">
        <v>0</v>
      </c>
      <c r="AC140" s="9"/>
      <c r="AD140" s="9">
        <v>0</v>
      </c>
      <c r="AE140" s="9"/>
      <c r="AF140" s="9">
        <v>0</v>
      </c>
      <c r="AG140" s="9"/>
      <c r="AH140" s="9">
        <v>0</v>
      </c>
      <c r="AI140" s="9"/>
      <c r="AJ140" s="9">
        <v>0</v>
      </c>
      <c r="AK140" s="9"/>
      <c r="AL140" s="9"/>
      <c r="AM140" s="9"/>
      <c r="AN140" s="9">
        <v>0</v>
      </c>
      <c r="AO140" s="9"/>
      <c r="AP140" s="9">
        <v>0</v>
      </c>
      <c r="AQ140" s="9"/>
      <c r="AR140" s="9">
        <v>0</v>
      </c>
      <c r="AS140" s="9"/>
      <c r="AT140" s="9">
        <v>0</v>
      </c>
      <c r="AU140" s="9"/>
      <c r="AV140" s="9">
        <v>0</v>
      </c>
      <c r="AW140" s="9"/>
      <c r="AX140" s="9">
        <v>0</v>
      </c>
      <c r="AY140" s="9"/>
      <c r="AZ140" s="9">
        <v>0</v>
      </c>
      <c r="BA140" s="9"/>
      <c r="BB140" s="9">
        <v>0</v>
      </c>
      <c r="BC140" s="9"/>
      <c r="BD140" s="9">
        <v>0</v>
      </c>
      <c r="BE140" s="9"/>
      <c r="BF140" s="9">
        <v>0</v>
      </c>
      <c r="BG140" s="9"/>
      <c r="BH140" s="9">
        <v>0</v>
      </c>
      <c r="BI140" s="9"/>
      <c r="BJ140" s="9">
        <v>0</v>
      </c>
      <c r="BK140" s="9"/>
      <c r="BL140" s="9">
        <v>0</v>
      </c>
      <c r="BM140" s="9"/>
      <c r="BN140" s="9">
        <f>SUM(T140:BM140)</f>
        <v>0</v>
      </c>
      <c r="BO140" s="9"/>
      <c r="BP140" s="9">
        <v>0</v>
      </c>
      <c r="BQ140" s="9"/>
      <c r="BR140" s="6">
        <f>IF(+R140-BN140+BP140&gt;0,R140-BN140+BP140,0)</f>
        <v>0</v>
      </c>
      <c r="BS140" s="9"/>
      <c r="BT140" s="9">
        <f>+BN140+BR140</f>
        <v>0</v>
      </c>
      <c r="BU140" s="9"/>
      <c r="BV140" s="9">
        <f>+R140-BT140</f>
        <v>0</v>
      </c>
      <c r="BW140" s="9"/>
    </row>
    <row r="141" spans="1:75" s="21" customFormat="1">
      <c r="A141" s="62"/>
      <c r="B141" s="58"/>
      <c r="J141" s="8"/>
      <c r="L141" s="141"/>
      <c r="M141" s="9"/>
      <c r="N141" s="9"/>
      <c r="O141" s="9"/>
      <c r="P141" s="9"/>
      <c r="Q141" s="9"/>
      <c r="R141" s="9">
        <v>0</v>
      </c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  <c r="AP141" s="9"/>
      <c r="AQ141" s="9"/>
      <c r="AR141" s="9"/>
      <c r="AS141" s="9"/>
      <c r="AT141" s="9"/>
      <c r="AU141" s="9"/>
      <c r="AV141" s="9"/>
      <c r="AW141" s="9"/>
      <c r="AX141" s="9"/>
      <c r="AY141" s="9"/>
      <c r="AZ141" s="9"/>
      <c r="BA141" s="9"/>
      <c r="BB141" s="9"/>
      <c r="BC141" s="9"/>
      <c r="BD141" s="9"/>
      <c r="BE141" s="9"/>
      <c r="BF141" s="9"/>
      <c r="BG141" s="9"/>
      <c r="BH141" s="9"/>
      <c r="BI141" s="9"/>
      <c r="BJ141" s="9"/>
      <c r="BK141" s="9"/>
      <c r="BL141" s="9"/>
      <c r="BM141" s="9"/>
      <c r="BN141" s="9"/>
      <c r="BO141" s="9"/>
      <c r="BP141" s="9"/>
      <c r="BQ141" s="9"/>
      <c r="BR141" s="9"/>
      <c r="BS141" s="9"/>
      <c r="BT141" s="9"/>
      <c r="BU141" s="9"/>
      <c r="BV141" s="9"/>
      <c r="BW141" s="9"/>
    </row>
    <row r="142" spans="1:75" s="21" customFormat="1">
      <c r="A142" s="56" t="s">
        <v>216</v>
      </c>
      <c r="B142" s="31"/>
      <c r="J142" s="8" t="s">
        <v>0</v>
      </c>
      <c r="L142" s="132" t="s">
        <v>202</v>
      </c>
      <c r="M142" s="9"/>
      <c r="N142" s="9">
        <v>400000</v>
      </c>
      <c r="O142" s="9"/>
      <c r="P142" s="9">
        <v>100000</v>
      </c>
      <c r="Q142" s="9"/>
      <c r="R142" s="9">
        <v>0</v>
      </c>
      <c r="S142" s="9"/>
      <c r="T142" s="9">
        <v>0</v>
      </c>
      <c r="U142" s="9"/>
      <c r="V142" s="9">
        <v>0</v>
      </c>
      <c r="W142" s="9"/>
      <c r="X142" s="9">
        <v>0</v>
      </c>
      <c r="Y142" s="9"/>
      <c r="Z142" s="9">
        <v>0</v>
      </c>
      <c r="AA142" s="9"/>
      <c r="AB142" s="9">
        <v>0</v>
      </c>
      <c r="AC142" s="9"/>
      <c r="AD142" s="9">
        <v>0</v>
      </c>
      <c r="AE142" s="9"/>
      <c r="AF142" s="9">
        <v>0</v>
      </c>
      <c r="AG142" s="9"/>
      <c r="AH142" s="9">
        <v>0</v>
      </c>
      <c r="AI142" s="9"/>
      <c r="AJ142" s="9">
        <v>0</v>
      </c>
      <c r="AK142" s="9"/>
      <c r="AL142" s="9"/>
      <c r="AM142" s="9"/>
      <c r="AN142" s="9">
        <v>0</v>
      </c>
      <c r="AO142" s="9"/>
      <c r="AP142" s="9">
        <v>0</v>
      </c>
      <c r="AQ142" s="9"/>
      <c r="AR142" s="9">
        <v>0</v>
      </c>
      <c r="AS142" s="9"/>
      <c r="AT142" s="9">
        <v>0</v>
      </c>
      <c r="AU142" s="9"/>
      <c r="AV142" s="9">
        <v>0</v>
      </c>
      <c r="AW142" s="9"/>
      <c r="AX142" s="9">
        <v>0</v>
      </c>
      <c r="AY142" s="9"/>
      <c r="AZ142" s="9">
        <v>0</v>
      </c>
      <c r="BA142" s="9"/>
      <c r="BB142" s="9">
        <v>0</v>
      </c>
      <c r="BC142" s="9"/>
      <c r="BD142" s="9"/>
      <c r="BE142" s="9"/>
      <c r="BF142" s="9">
        <v>0</v>
      </c>
      <c r="BG142" s="9"/>
      <c r="BH142" s="9">
        <v>0</v>
      </c>
      <c r="BI142" s="9"/>
      <c r="BJ142" s="9">
        <v>0</v>
      </c>
      <c r="BK142" s="9"/>
      <c r="BL142" s="9">
        <v>0</v>
      </c>
      <c r="BM142" s="9"/>
      <c r="BN142" s="9">
        <f>SUM(T142:BM142)</f>
        <v>0</v>
      </c>
      <c r="BO142" s="9"/>
      <c r="BP142" s="9">
        <v>0</v>
      </c>
      <c r="BQ142" s="9"/>
      <c r="BR142" s="6">
        <f>IF(+R142-BN142+BP142&gt;0,R142-BN142+BP142,0)</f>
        <v>0</v>
      </c>
      <c r="BS142" s="9"/>
      <c r="BT142" s="9">
        <f>+BN142+BR142</f>
        <v>0</v>
      </c>
      <c r="BU142" s="9"/>
      <c r="BV142" s="9">
        <f>+R142-BT142</f>
        <v>0</v>
      </c>
      <c r="BW142" s="9"/>
    </row>
    <row r="143" spans="1:75" s="21" customFormat="1">
      <c r="A143" s="56"/>
      <c r="B143" s="31"/>
      <c r="J143" s="8"/>
      <c r="L143" s="132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  <c r="AN143" s="9"/>
      <c r="AO143" s="9"/>
      <c r="AP143" s="9"/>
      <c r="AQ143" s="9"/>
      <c r="AR143" s="9"/>
      <c r="AS143" s="9"/>
      <c r="AT143" s="9"/>
      <c r="AU143" s="9"/>
      <c r="AV143" s="9"/>
      <c r="AW143" s="9"/>
      <c r="AX143" s="9"/>
      <c r="AY143" s="9"/>
      <c r="AZ143" s="9"/>
      <c r="BA143" s="9"/>
      <c r="BB143" s="9"/>
      <c r="BC143" s="9"/>
      <c r="BD143" s="9"/>
      <c r="BE143" s="9"/>
      <c r="BF143" s="9"/>
      <c r="BG143" s="9"/>
      <c r="BH143" s="9"/>
      <c r="BI143" s="9"/>
      <c r="BJ143" s="9"/>
      <c r="BK143" s="9"/>
      <c r="BL143" s="9"/>
      <c r="BM143" s="9"/>
      <c r="BN143" s="9"/>
      <c r="BO143" s="9"/>
      <c r="BP143" s="9"/>
      <c r="BQ143" s="9"/>
      <c r="BR143" s="9"/>
      <c r="BS143" s="9"/>
      <c r="BT143" s="9"/>
      <c r="BU143" s="9"/>
      <c r="BV143" s="9"/>
      <c r="BW143" s="9"/>
    </row>
    <row r="144" spans="1:75" s="31" customFormat="1">
      <c r="A144" s="58" t="s">
        <v>30</v>
      </c>
      <c r="J144" s="156" t="s">
        <v>0</v>
      </c>
      <c r="L144" s="143" t="s">
        <v>202</v>
      </c>
      <c r="M144" s="10"/>
      <c r="N144" s="10">
        <v>0</v>
      </c>
      <c r="O144" s="10"/>
      <c r="P144" s="10">
        <v>0</v>
      </c>
      <c r="Q144" s="10"/>
      <c r="R144" s="9">
        <v>0</v>
      </c>
      <c r="S144" s="10"/>
      <c r="T144" s="10">
        <v>0</v>
      </c>
      <c r="U144" s="10"/>
      <c r="V144" s="10">
        <v>0</v>
      </c>
      <c r="W144" s="10"/>
      <c r="X144" s="10">
        <v>0</v>
      </c>
      <c r="Y144" s="10"/>
      <c r="Z144" s="10">
        <v>0</v>
      </c>
      <c r="AA144" s="10"/>
      <c r="AB144" s="10">
        <v>0</v>
      </c>
      <c r="AC144" s="10"/>
      <c r="AD144" s="10">
        <v>0</v>
      </c>
      <c r="AE144" s="10"/>
      <c r="AF144" s="10">
        <v>0</v>
      </c>
      <c r="AG144" s="10"/>
      <c r="AH144" s="10">
        <v>0</v>
      </c>
      <c r="AI144" s="10"/>
      <c r="AJ144" s="10">
        <v>0</v>
      </c>
      <c r="AK144" s="10"/>
      <c r="AL144" s="10"/>
      <c r="AM144" s="10"/>
      <c r="AN144" s="10">
        <v>0</v>
      </c>
      <c r="AO144" s="10"/>
      <c r="AP144" s="10">
        <v>0</v>
      </c>
      <c r="AQ144" s="10"/>
      <c r="AR144" s="10">
        <v>0</v>
      </c>
      <c r="AS144" s="10"/>
      <c r="AT144" s="10">
        <v>0</v>
      </c>
      <c r="AU144" s="10"/>
      <c r="AV144" s="10">
        <v>0</v>
      </c>
      <c r="AW144" s="10"/>
      <c r="AX144" s="10">
        <v>0</v>
      </c>
      <c r="AY144" s="10"/>
      <c r="AZ144" s="10">
        <v>0</v>
      </c>
      <c r="BA144" s="10"/>
      <c r="BB144" s="10">
        <v>0</v>
      </c>
      <c r="BC144" s="10"/>
      <c r="BD144" s="10">
        <v>0</v>
      </c>
      <c r="BE144" s="10"/>
      <c r="BF144" s="10">
        <v>0</v>
      </c>
      <c r="BG144" s="10"/>
      <c r="BH144" s="10">
        <v>0</v>
      </c>
      <c r="BI144" s="10"/>
      <c r="BJ144" s="10">
        <v>0</v>
      </c>
      <c r="BK144" s="10"/>
      <c r="BL144" s="10">
        <v>0</v>
      </c>
      <c r="BM144" s="10"/>
      <c r="BN144" s="10">
        <f>SUM(T144:BM144)</f>
        <v>0</v>
      </c>
      <c r="BO144" s="10"/>
      <c r="BP144" s="10">
        <v>0</v>
      </c>
      <c r="BQ144" s="10"/>
      <c r="BR144" s="6">
        <f>IF(+R144-BN144+BP144&gt;0,R144-BN144+BP144,0)</f>
        <v>0</v>
      </c>
      <c r="BS144" s="10"/>
      <c r="BT144" s="9">
        <f>+BN144+BR144</f>
        <v>0</v>
      </c>
      <c r="BU144" s="10"/>
      <c r="BV144" s="9">
        <f>+R144-BT144</f>
        <v>0</v>
      </c>
      <c r="BW144" s="10"/>
    </row>
    <row r="145" spans="1:75" s="21" customFormat="1">
      <c r="A145" s="56"/>
      <c r="B145" s="31"/>
      <c r="J145" s="8"/>
      <c r="L145" s="132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  <c r="AN145" s="9"/>
      <c r="AO145" s="9"/>
      <c r="AP145" s="9"/>
      <c r="AQ145" s="9"/>
      <c r="AR145" s="9"/>
      <c r="AS145" s="9"/>
      <c r="AT145" s="9"/>
      <c r="AU145" s="9"/>
      <c r="AV145" s="9"/>
      <c r="AW145" s="9"/>
      <c r="AX145" s="9"/>
      <c r="AY145" s="9"/>
      <c r="AZ145" s="9"/>
      <c r="BA145" s="9"/>
      <c r="BB145" s="9"/>
      <c r="BC145" s="9"/>
      <c r="BD145" s="9"/>
      <c r="BE145" s="9"/>
      <c r="BF145" s="9"/>
      <c r="BG145" s="9"/>
      <c r="BH145" s="9"/>
      <c r="BI145" s="9"/>
      <c r="BJ145" s="9"/>
      <c r="BK145" s="9"/>
      <c r="BL145" s="9"/>
      <c r="BM145" s="9"/>
      <c r="BN145" s="9"/>
      <c r="BO145" s="9"/>
      <c r="BP145" s="9"/>
      <c r="BQ145" s="9"/>
      <c r="BR145" s="9"/>
      <c r="BS145" s="9"/>
      <c r="BT145" s="9"/>
      <c r="BU145" s="9"/>
      <c r="BV145" s="9"/>
      <c r="BW145" s="9"/>
    </row>
    <row r="146" spans="1:75" s="21" customFormat="1">
      <c r="A146" s="56" t="s">
        <v>26</v>
      </c>
      <c r="B146" s="58"/>
      <c r="J146" s="8" t="s">
        <v>0</v>
      </c>
      <c r="L146" s="132" t="s">
        <v>202</v>
      </c>
      <c r="M146" s="16"/>
      <c r="N146" s="9">
        <v>0</v>
      </c>
      <c r="O146" s="16"/>
      <c r="P146" s="9">
        <v>0</v>
      </c>
      <c r="Q146" s="16"/>
      <c r="R146" s="9">
        <v>0</v>
      </c>
      <c r="S146" s="16"/>
      <c r="T146" s="9">
        <v>0</v>
      </c>
      <c r="U146" s="9"/>
      <c r="V146" s="9">
        <v>0</v>
      </c>
      <c r="W146" s="9"/>
      <c r="X146" s="9">
        <v>0</v>
      </c>
      <c r="Y146" s="9"/>
      <c r="Z146" s="9">
        <v>0</v>
      </c>
      <c r="AA146" s="9"/>
      <c r="AB146" s="9">
        <v>0</v>
      </c>
      <c r="AC146" s="9"/>
      <c r="AD146" s="9">
        <v>0</v>
      </c>
      <c r="AE146" s="9"/>
      <c r="AF146" s="9">
        <v>0</v>
      </c>
      <c r="AG146" s="9"/>
      <c r="AH146" s="9">
        <v>0</v>
      </c>
      <c r="AI146" s="9"/>
      <c r="AJ146" s="9">
        <v>0</v>
      </c>
      <c r="AK146" s="9"/>
      <c r="AL146" s="9"/>
      <c r="AM146" s="9"/>
      <c r="AN146" s="9">
        <v>0</v>
      </c>
      <c r="AO146" s="9"/>
      <c r="AP146" s="9">
        <v>0</v>
      </c>
      <c r="AQ146" s="9"/>
      <c r="AR146" s="9">
        <v>0</v>
      </c>
      <c r="AS146" s="9"/>
      <c r="AT146" s="9">
        <v>0</v>
      </c>
      <c r="AU146" s="9"/>
      <c r="AV146" s="9">
        <v>0</v>
      </c>
      <c r="AW146" s="9"/>
      <c r="AX146" s="9">
        <v>0</v>
      </c>
      <c r="AY146" s="9"/>
      <c r="AZ146" s="9">
        <v>0</v>
      </c>
      <c r="BA146" s="9"/>
      <c r="BB146" s="9">
        <v>0</v>
      </c>
      <c r="BC146" s="9"/>
      <c r="BD146" s="9">
        <v>0</v>
      </c>
      <c r="BE146" s="9"/>
      <c r="BF146" s="9">
        <v>0</v>
      </c>
      <c r="BG146" s="9"/>
      <c r="BH146" s="9">
        <v>0</v>
      </c>
      <c r="BI146" s="9"/>
      <c r="BJ146" s="9">
        <v>0</v>
      </c>
      <c r="BK146" s="9"/>
      <c r="BL146" s="9">
        <v>0</v>
      </c>
      <c r="BM146" s="9"/>
      <c r="BN146" s="9">
        <f>SUM(T146:BM146)</f>
        <v>0</v>
      </c>
      <c r="BO146" s="9"/>
      <c r="BP146" s="9">
        <v>0</v>
      </c>
      <c r="BQ146" s="9"/>
      <c r="BR146" s="6">
        <f>IF(+R146-BN146+BP146&gt;0,R146-BN146+BP146,0)</f>
        <v>0</v>
      </c>
      <c r="BS146" s="16"/>
      <c r="BT146" s="9">
        <f>+BN146+BR146</f>
        <v>0</v>
      </c>
      <c r="BU146" s="16"/>
      <c r="BV146" s="9">
        <f>+R146-BT146</f>
        <v>0</v>
      </c>
      <c r="BW146" s="9"/>
    </row>
    <row r="147" spans="1:75" s="21" customFormat="1">
      <c r="A147" s="56"/>
      <c r="B147" s="31"/>
      <c r="J147" s="8"/>
      <c r="L147" s="132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  <c r="AN147" s="9"/>
      <c r="AO147" s="9"/>
      <c r="AP147" s="9"/>
      <c r="AQ147" s="9"/>
      <c r="AR147" s="9"/>
      <c r="AS147" s="9"/>
      <c r="AT147" s="9"/>
      <c r="AU147" s="9"/>
      <c r="AV147" s="9"/>
      <c r="AW147" s="9"/>
      <c r="AX147" s="9"/>
      <c r="AY147" s="9"/>
      <c r="AZ147" s="9"/>
      <c r="BA147" s="9"/>
      <c r="BB147" s="9"/>
      <c r="BC147" s="9"/>
      <c r="BD147" s="9"/>
      <c r="BE147" s="9"/>
      <c r="BF147" s="9"/>
      <c r="BG147" s="9"/>
      <c r="BH147" s="9"/>
      <c r="BI147" s="9"/>
      <c r="BJ147" s="9"/>
      <c r="BK147" s="9"/>
      <c r="BL147" s="9"/>
      <c r="BM147" s="9"/>
      <c r="BN147" s="9"/>
      <c r="BO147" s="9"/>
      <c r="BP147" s="9"/>
      <c r="BQ147" s="9"/>
      <c r="BR147" s="9"/>
      <c r="BS147" s="9"/>
      <c r="BT147" s="9"/>
      <c r="BU147" s="9"/>
      <c r="BV147" s="9"/>
      <c r="BW147" s="9"/>
    </row>
    <row r="148" spans="1:75">
      <c r="A148" s="56" t="s">
        <v>27</v>
      </c>
      <c r="B148" s="11"/>
      <c r="C148"/>
      <c r="D148"/>
      <c r="E148"/>
      <c r="F148"/>
      <c r="G148"/>
      <c r="H148"/>
      <c r="I148"/>
      <c r="J148" s="49"/>
      <c r="K148"/>
      <c r="L148" s="132"/>
      <c r="M148" s="6"/>
      <c r="O148" s="6"/>
      <c r="Q148" s="6"/>
      <c r="S148" s="6"/>
      <c r="T148" s="6"/>
      <c r="U148" s="6"/>
      <c r="V148" s="6"/>
      <c r="X148" s="6"/>
      <c r="Z148" s="6"/>
      <c r="AB148" s="6"/>
      <c r="AD148" s="6"/>
      <c r="BL148" s="6"/>
      <c r="BM148" s="6"/>
      <c r="BO148" s="6"/>
      <c r="BP148" s="6"/>
      <c r="BQ148" s="6"/>
      <c r="BW148" s="6"/>
    </row>
    <row r="149" spans="1:75">
      <c r="A149" s="61"/>
      <c r="B149" s="11" t="s">
        <v>207</v>
      </c>
      <c r="E149" s="4"/>
      <c r="G149" s="4"/>
      <c r="I149" s="4"/>
      <c r="J149" s="5" t="s">
        <v>0</v>
      </c>
      <c r="L149" s="132" t="s">
        <v>202</v>
      </c>
      <c r="M149" s="6"/>
      <c r="N149" s="6">
        <v>0</v>
      </c>
      <c r="O149" s="6"/>
      <c r="P149" s="6">
        <v>0</v>
      </c>
      <c r="Q149" s="6"/>
      <c r="R149" s="6">
        <v>0</v>
      </c>
      <c r="S149" s="6"/>
      <c r="T149" s="6">
        <v>0</v>
      </c>
      <c r="U149" s="6"/>
      <c r="V149" s="6">
        <v>0</v>
      </c>
      <c r="X149" s="6">
        <v>0</v>
      </c>
      <c r="Z149" s="6">
        <v>0</v>
      </c>
      <c r="AB149" s="6">
        <v>0</v>
      </c>
      <c r="AD149" s="6">
        <v>0</v>
      </c>
      <c r="AF149" s="6">
        <v>6000</v>
      </c>
      <c r="AH149" s="6">
        <v>0</v>
      </c>
      <c r="AJ149" s="6">
        <v>0</v>
      </c>
      <c r="AN149" s="6">
        <v>0</v>
      </c>
      <c r="AP149" s="6">
        <v>0</v>
      </c>
      <c r="AR149" s="6">
        <v>6000</v>
      </c>
      <c r="AT149" s="6">
        <v>0</v>
      </c>
      <c r="AV149" s="6">
        <v>0</v>
      </c>
      <c r="AX149" s="6">
        <v>0</v>
      </c>
      <c r="AZ149" s="6">
        <v>0</v>
      </c>
      <c r="BB149" s="6">
        <v>0</v>
      </c>
      <c r="BD149" s="6">
        <v>6000</v>
      </c>
      <c r="BF149" s="6">
        <v>0</v>
      </c>
      <c r="BH149" s="6">
        <v>0</v>
      </c>
      <c r="BJ149" s="6">
        <v>0</v>
      </c>
      <c r="BL149" s="6">
        <v>0</v>
      </c>
      <c r="BM149" s="6"/>
      <c r="BN149" s="6">
        <f>SUM(T149:BM149)</f>
        <v>18000</v>
      </c>
      <c r="BO149" s="6"/>
      <c r="BP149" s="6">
        <v>0</v>
      </c>
      <c r="BQ149" s="6"/>
      <c r="BR149" s="6">
        <f>IF(+R149-BN149+BP149&gt;0,R149-BN149+BP149,0)</f>
        <v>0</v>
      </c>
      <c r="BT149" s="6">
        <f>+BN149+BR149</f>
        <v>18000</v>
      </c>
      <c r="BV149" s="6">
        <f>+R149-BT149</f>
        <v>-18000</v>
      </c>
      <c r="BW149" s="6"/>
    </row>
    <row r="150" spans="1:75">
      <c r="A150" s="61"/>
      <c r="B150" s="11" t="s">
        <v>208</v>
      </c>
      <c r="E150" s="4"/>
      <c r="G150" s="4"/>
      <c r="I150" s="4"/>
      <c r="J150" s="5" t="s">
        <v>0</v>
      </c>
      <c r="L150" s="132" t="s">
        <v>202</v>
      </c>
      <c r="M150" s="6"/>
      <c r="O150" s="6"/>
      <c r="Q150" s="6"/>
      <c r="R150" s="6">
        <v>0</v>
      </c>
      <c r="S150" s="6"/>
      <c r="T150" s="6">
        <v>0</v>
      </c>
      <c r="U150" s="6"/>
      <c r="V150" s="6">
        <v>0</v>
      </c>
      <c r="X150" s="6">
        <v>0</v>
      </c>
      <c r="Z150" s="6">
        <v>0</v>
      </c>
      <c r="AB150" s="6">
        <v>0</v>
      </c>
      <c r="AD150" s="6">
        <v>0</v>
      </c>
      <c r="AF150" s="6">
        <v>0</v>
      </c>
      <c r="AH150" s="6">
        <v>0</v>
      </c>
      <c r="AJ150" s="6">
        <v>0</v>
      </c>
      <c r="AN150" s="6">
        <v>0</v>
      </c>
      <c r="AP150" s="6">
        <v>0</v>
      </c>
      <c r="AR150" s="6">
        <v>0</v>
      </c>
      <c r="AT150" s="6">
        <v>0</v>
      </c>
      <c r="AV150" s="6">
        <v>0</v>
      </c>
      <c r="AX150" s="6">
        <v>0</v>
      </c>
      <c r="AZ150" s="6">
        <v>0</v>
      </c>
      <c r="BB150" s="6">
        <v>0</v>
      </c>
      <c r="BD150" s="6">
        <v>0</v>
      </c>
      <c r="BF150" s="6">
        <v>0</v>
      </c>
      <c r="BH150" s="6">
        <v>0</v>
      </c>
      <c r="BJ150" s="6">
        <v>0</v>
      </c>
      <c r="BL150" s="6">
        <v>0</v>
      </c>
      <c r="BM150" s="6"/>
      <c r="BN150" s="6">
        <f>SUM(T150:BM150)</f>
        <v>0</v>
      </c>
      <c r="BO150" s="6"/>
      <c r="BP150" s="6">
        <v>0</v>
      </c>
      <c r="BQ150" s="6"/>
      <c r="BR150" s="6">
        <f>IF(+R150-BN150+BP150&gt;0,R150-BN150+BP150,0)</f>
        <v>0</v>
      </c>
      <c r="BT150" s="6">
        <f>+BN150+BR150</f>
        <v>0</v>
      </c>
      <c r="BV150" s="6">
        <f>+R150-BT150</f>
        <v>0</v>
      </c>
      <c r="BW150" s="6"/>
    </row>
    <row r="151" spans="1:75">
      <c r="A151" s="61"/>
      <c r="B151" s="11" t="s">
        <v>431</v>
      </c>
      <c r="E151" s="4"/>
      <c r="G151" s="4"/>
      <c r="I151" s="4"/>
      <c r="J151" s="5" t="s">
        <v>0</v>
      </c>
      <c r="L151" s="132" t="s">
        <v>202</v>
      </c>
      <c r="M151" s="6"/>
      <c r="O151" s="6"/>
      <c r="Q151" s="6"/>
      <c r="R151" s="6">
        <v>0</v>
      </c>
      <c r="S151" s="6"/>
      <c r="T151" s="6">
        <v>0</v>
      </c>
      <c r="U151" s="6"/>
      <c r="V151" s="6">
        <v>0</v>
      </c>
      <c r="X151" s="6">
        <v>0</v>
      </c>
      <c r="Z151" s="6">
        <v>0</v>
      </c>
      <c r="AB151" s="6">
        <v>0</v>
      </c>
      <c r="AD151" s="6">
        <v>0</v>
      </c>
      <c r="AF151" s="6">
        <v>0</v>
      </c>
      <c r="AH151" s="6">
        <v>0</v>
      </c>
      <c r="AJ151" s="6">
        <v>0</v>
      </c>
      <c r="AL151" s="6">
        <v>-369041</v>
      </c>
      <c r="AN151" s="6">
        <v>369040.52</v>
      </c>
      <c r="AP151" s="6">
        <v>294743.67999999999</v>
      </c>
      <c r="AT151" s="6">
        <v>0</v>
      </c>
      <c r="AV151" s="6">
        <v>0</v>
      </c>
      <c r="AX151" s="6">
        <v>0</v>
      </c>
      <c r="AZ151" s="6">
        <v>0</v>
      </c>
      <c r="BB151" s="6">
        <v>0</v>
      </c>
      <c r="BD151" s="6">
        <v>0</v>
      </c>
      <c r="BF151" s="6">
        <v>0</v>
      </c>
      <c r="BH151" s="6">
        <v>0</v>
      </c>
      <c r="BJ151" s="6">
        <v>0</v>
      </c>
      <c r="BL151" s="6">
        <v>0</v>
      </c>
      <c r="BM151" s="6"/>
      <c r="BN151" s="6">
        <f>SUM(T151:BM151)</f>
        <v>294743.2</v>
      </c>
      <c r="BO151" s="6"/>
      <c r="BP151" s="6">
        <v>0</v>
      </c>
      <c r="BQ151" s="6"/>
      <c r="BR151" s="6">
        <f>IF(+R151-BN151+BP151&gt;0,R151-BN151+BP151,0)</f>
        <v>0</v>
      </c>
      <c r="BT151" s="6">
        <f>+BN151+BR151</f>
        <v>294743.2</v>
      </c>
      <c r="BV151" s="6">
        <f>+R151-BT151</f>
        <v>-294743.2</v>
      </c>
      <c r="BW151" s="6"/>
    </row>
    <row r="152" spans="1:75">
      <c r="A152" s="61"/>
      <c r="B152" s="11" t="s">
        <v>210</v>
      </c>
      <c r="E152" s="4"/>
      <c r="G152" s="4"/>
      <c r="I152" s="4"/>
      <c r="J152" s="5" t="s">
        <v>0</v>
      </c>
      <c r="L152" s="132" t="s">
        <v>202</v>
      </c>
      <c r="M152" s="6"/>
      <c r="O152" s="6"/>
      <c r="Q152" s="6"/>
      <c r="R152" s="6">
        <v>0</v>
      </c>
      <c r="S152" s="6"/>
      <c r="T152" s="6"/>
      <c r="U152" s="6"/>
      <c r="V152" s="6"/>
      <c r="X152" s="6"/>
      <c r="Z152" s="6"/>
      <c r="AB152" s="6"/>
      <c r="AD152" s="6"/>
      <c r="BL152" s="6"/>
      <c r="BM152" s="6"/>
      <c r="BO152" s="6"/>
      <c r="BP152" s="6"/>
      <c r="BQ152" s="6"/>
      <c r="BR152" s="6">
        <f>IF(+R152-BN152+BP152&gt;0,R152-BN152+BP152,0)</f>
        <v>0</v>
      </c>
      <c r="BT152" s="6">
        <f>+BN152+BR152</f>
        <v>0</v>
      </c>
      <c r="BV152" s="6">
        <f>+R152-BT152</f>
        <v>0</v>
      </c>
      <c r="BW152" s="6"/>
    </row>
    <row r="153" spans="1:75" s="21" customFormat="1">
      <c r="A153" s="56"/>
      <c r="B153" s="31" t="s">
        <v>182</v>
      </c>
      <c r="J153" s="8"/>
      <c r="L153" s="141"/>
      <c r="M153" s="9"/>
      <c r="N153" s="102">
        <f>SUM(N149:N152)</f>
        <v>0</v>
      </c>
      <c r="O153" s="9"/>
      <c r="P153" s="102">
        <f>SUM(P149:P152)</f>
        <v>0</v>
      </c>
      <c r="Q153" s="9"/>
      <c r="R153" s="102">
        <f>SUM(R149:R152)</f>
        <v>0</v>
      </c>
      <c r="S153" s="9"/>
      <c r="T153" s="102">
        <f>SUM(T149:T152)</f>
        <v>0</v>
      </c>
      <c r="U153" s="9"/>
      <c r="V153" s="102">
        <f>SUM(V149:V152)</f>
        <v>0</v>
      </c>
      <c r="W153" s="9"/>
      <c r="X153" s="102">
        <f>SUM(X149:X152)</f>
        <v>0</v>
      </c>
      <c r="Y153" s="9"/>
      <c r="Z153" s="102">
        <f>SUM(Z149:Z152)</f>
        <v>0</v>
      </c>
      <c r="AA153" s="9"/>
      <c r="AB153" s="102">
        <f>SUM(AB149:AB152)</f>
        <v>0</v>
      </c>
      <c r="AC153" s="9"/>
      <c r="AD153" s="102">
        <f>SUM(AD149:AD152)</f>
        <v>0</v>
      </c>
      <c r="AE153" s="9"/>
      <c r="AF153" s="102">
        <f>SUM(AF149:AF152)</f>
        <v>6000</v>
      </c>
      <c r="AG153" s="9"/>
      <c r="AH153" s="102">
        <f>SUM(AH149:AH152)</f>
        <v>0</v>
      </c>
      <c r="AI153" s="9"/>
      <c r="AJ153" s="102">
        <f>SUM(AJ149:AJ152)</f>
        <v>0</v>
      </c>
      <c r="AK153" s="9"/>
      <c r="AL153" s="102">
        <f>SUM(AL149:AL152)</f>
        <v>-369041</v>
      </c>
      <c r="AM153" s="102"/>
      <c r="AN153" s="102">
        <f>SUM(AN149:AN152)</f>
        <v>369040.52</v>
      </c>
      <c r="AO153" s="9"/>
      <c r="AP153" s="102">
        <f>SUM(AP149:AP152)</f>
        <v>294743.67999999999</v>
      </c>
      <c r="AQ153" s="9"/>
      <c r="AR153" s="102">
        <f>SUM(AR149:AR152)</f>
        <v>6000</v>
      </c>
      <c r="AS153" s="9"/>
      <c r="AT153" s="102">
        <f>SUM(AT149:AT152)</f>
        <v>0</v>
      </c>
      <c r="AU153" s="9"/>
      <c r="AV153" s="102">
        <f>SUM(AV149:AV152)</f>
        <v>0</v>
      </c>
      <c r="AW153" s="10"/>
      <c r="AX153" s="102">
        <f>SUM(AX149:AX152)</f>
        <v>0</v>
      </c>
      <c r="AY153" s="10"/>
      <c r="AZ153" s="102">
        <f>SUM(AZ149:AZ152)</f>
        <v>0</v>
      </c>
      <c r="BA153" s="10"/>
      <c r="BB153" s="102">
        <f>SUM(BB149:BB152)</f>
        <v>0</v>
      </c>
      <c r="BC153" s="10"/>
      <c r="BD153" s="102">
        <f>SUM(BD149:BD152)</f>
        <v>6000</v>
      </c>
      <c r="BE153" s="10"/>
      <c r="BF153" s="102">
        <f>SUM(BF149:BF152)</f>
        <v>0</v>
      </c>
      <c r="BG153" s="10"/>
      <c r="BH153" s="102">
        <f>SUM(BH149:BH152)</f>
        <v>0</v>
      </c>
      <c r="BI153" s="10"/>
      <c r="BJ153" s="102">
        <f>SUM(BJ149:BJ152)</f>
        <v>0</v>
      </c>
      <c r="BK153" s="10"/>
      <c r="BL153" s="102">
        <f>SUM(BL149:BL152)</f>
        <v>0</v>
      </c>
      <c r="BM153" s="9"/>
      <c r="BN153" s="102">
        <f>SUM(BN149:BN152)</f>
        <v>312743.2</v>
      </c>
      <c r="BO153" s="9"/>
      <c r="BP153" s="102">
        <f>SUM(BP149:BP152)</f>
        <v>0</v>
      </c>
      <c r="BQ153" s="9"/>
      <c r="BR153" s="102">
        <f>SUM(BR149:BR152)</f>
        <v>0</v>
      </c>
      <c r="BS153" s="9"/>
      <c r="BT153" s="102">
        <f>SUM(BT149:BT152)</f>
        <v>312743.2</v>
      </c>
      <c r="BU153" s="9"/>
      <c r="BV153" s="102">
        <f>SUM(BV149:BV152)</f>
        <v>-312743.2</v>
      </c>
      <c r="BW153" s="9"/>
    </row>
    <row r="154" spans="1:75" s="21" customFormat="1">
      <c r="A154" s="56"/>
      <c r="B154" s="31"/>
      <c r="J154" s="8"/>
      <c r="L154" s="132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M154" s="9"/>
      <c r="AN154" s="9"/>
      <c r="AO154" s="9"/>
      <c r="AP154" s="9"/>
      <c r="AQ154" s="9"/>
      <c r="AR154" s="9"/>
      <c r="AS154" s="9"/>
      <c r="AT154" s="9"/>
      <c r="AU154" s="9"/>
      <c r="AV154" s="9"/>
      <c r="AW154" s="9"/>
      <c r="AX154" s="9"/>
      <c r="AY154" s="9"/>
      <c r="AZ154" s="9"/>
      <c r="BA154" s="9"/>
      <c r="BB154" s="9"/>
      <c r="BC154" s="9"/>
      <c r="BD154" s="9"/>
      <c r="BE154" s="9"/>
      <c r="BF154" s="9"/>
      <c r="BG154" s="9"/>
      <c r="BH154" s="9"/>
      <c r="BI154" s="9"/>
      <c r="BJ154" s="9"/>
      <c r="BK154" s="9"/>
      <c r="BL154" s="9"/>
      <c r="BM154" s="9"/>
      <c r="BN154" s="9"/>
      <c r="BO154" s="9"/>
      <c r="BP154" s="9"/>
      <c r="BQ154" s="9"/>
      <c r="BR154" s="9"/>
      <c r="BS154" s="9"/>
      <c r="BT154" s="9"/>
      <c r="BU154" s="9"/>
      <c r="BV154" s="9"/>
      <c r="BW154" s="9"/>
    </row>
    <row r="155" spans="1:75">
      <c r="A155" s="56" t="s">
        <v>28</v>
      </c>
      <c r="B155" s="11"/>
      <c r="C155"/>
      <c r="D155"/>
      <c r="E155"/>
      <c r="F155"/>
      <c r="G155"/>
      <c r="H155"/>
      <c r="I155"/>
      <c r="J155" s="49"/>
      <c r="K155"/>
      <c r="L155" s="132"/>
      <c r="M155" s="6"/>
      <c r="O155" s="6"/>
      <c r="Q155" s="6"/>
      <c r="S155" s="6"/>
      <c r="T155" s="6"/>
      <c r="U155" s="6"/>
      <c r="V155" s="6"/>
      <c r="X155" s="6"/>
      <c r="Z155" s="6"/>
      <c r="AB155" s="6"/>
      <c r="AD155" s="6"/>
      <c r="BL155" s="6"/>
      <c r="BM155" s="6"/>
      <c r="BO155" s="6"/>
      <c r="BP155" s="6"/>
      <c r="BQ155" s="6"/>
      <c r="BW155" s="6"/>
    </row>
    <row r="156" spans="1:75">
      <c r="A156" s="56"/>
      <c r="B156" s="11" t="s">
        <v>211</v>
      </c>
      <c r="C156"/>
      <c r="D156"/>
      <c r="E156"/>
      <c r="F156"/>
      <c r="G156"/>
      <c r="H156"/>
      <c r="I156"/>
      <c r="J156" s="49"/>
      <c r="K156"/>
      <c r="L156" s="132" t="s">
        <v>203</v>
      </c>
      <c r="M156" s="6"/>
      <c r="N156" s="6">
        <v>0</v>
      </c>
      <c r="O156" s="6"/>
      <c r="P156" s="6">
        <v>0</v>
      </c>
      <c r="Q156" s="6"/>
      <c r="R156" s="6">
        <v>0</v>
      </c>
      <c r="S156" s="6"/>
      <c r="T156" s="6">
        <v>0</v>
      </c>
      <c r="U156" s="6"/>
      <c r="V156" s="6">
        <v>0</v>
      </c>
      <c r="X156" s="6">
        <v>0</v>
      </c>
      <c r="Z156" s="6">
        <v>0</v>
      </c>
      <c r="AB156" s="6">
        <v>0</v>
      </c>
      <c r="AD156" s="6">
        <v>23801.200000000001</v>
      </c>
      <c r="AF156" s="6">
        <v>35510.120000000003</v>
      </c>
      <c r="AH156" s="6">
        <f>30284.2+9574.9</f>
        <v>39859.1</v>
      </c>
      <c r="AJ156" s="6">
        <v>0</v>
      </c>
      <c r="AL156" s="6">
        <v>-69419</v>
      </c>
      <c r="AN156" s="6">
        <v>0</v>
      </c>
      <c r="AP156" s="6">
        <v>0</v>
      </c>
      <c r="AR156" s="6">
        <v>0</v>
      </c>
      <c r="AT156" s="6">
        <v>0</v>
      </c>
      <c r="AV156" s="6">
        <v>0</v>
      </c>
      <c r="AX156" s="6">
        <v>0</v>
      </c>
      <c r="AZ156" s="6">
        <v>0</v>
      </c>
      <c r="BB156" s="6">
        <v>0</v>
      </c>
      <c r="BD156" s="6">
        <v>0</v>
      </c>
      <c r="BF156" s="6">
        <v>0</v>
      </c>
      <c r="BH156" s="6">
        <v>0</v>
      </c>
      <c r="BJ156" s="6">
        <v>0</v>
      </c>
      <c r="BL156" s="6">
        <v>0</v>
      </c>
      <c r="BM156" s="6"/>
      <c r="BN156" s="6">
        <f t="shared" ref="BN156:BN161" si="31">SUM(T156:BM156)</f>
        <v>29751.420000000013</v>
      </c>
      <c r="BO156" s="6"/>
      <c r="BP156" s="223">
        <v>0</v>
      </c>
      <c r="BQ156" s="6"/>
      <c r="BR156" s="6">
        <f t="shared" ref="BR156:BR162" si="32">IF(+R156-BN156+BP156&gt;0,R156-BN156+BP156,0)</f>
        <v>0</v>
      </c>
      <c r="BT156" s="6">
        <f t="shared" ref="BT156:BT161" si="33">+BN156+BR156</f>
        <v>29751.420000000013</v>
      </c>
      <c r="BV156" s="6">
        <f>+R156-BN156-BR156</f>
        <v>-29751.420000000013</v>
      </c>
      <c r="BW156" s="6"/>
    </row>
    <row r="157" spans="1:75">
      <c r="A157" s="57"/>
      <c r="B157" s="17" t="s">
        <v>212</v>
      </c>
      <c r="C157"/>
      <c r="D157"/>
      <c r="E157"/>
      <c r="F157"/>
      <c r="G157"/>
      <c r="H157"/>
      <c r="I157"/>
      <c r="J157" s="49"/>
      <c r="K157"/>
      <c r="L157" s="132" t="s">
        <v>203</v>
      </c>
      <c r="M157" s="6"/>
      <c r="N157" s="6">
        <v>0</v>
      </c>
      <c r="O157" s="6"/>
      <c r="P157" s="6">
        <v>0</v>
      </c>
      <c r="Q157" s="6"/>
      <c r="R157" s="6">
        <v>0</v>
      </c>
      <c r="S157" s="6"/>
      <c r="T157" s="6">
        <v>0</v>
      </c>
      <c r="U157" s="6"/>
      <c r="V157" s="6">
        <v>0</v>
      </c>
      <c r="X157" s="6">
        <v>0</v>
      </c>
      <c r="Z157" s="6">
        <v>0</v>
      </c>
      <c r="AB157" s="6">
        <v>0</v>
      </c>
      <c r="AD157" s="6">
        <v>4183.38</v>
      </c>
      <c r="AF157" s="6">
        <v>10970</v>
      </c>
      <c r="AH157" s="6">
        <f>4864.1+4137.5</f>
        <v>9001.6</v>
      </c>
      <c r="AJ157" s="6">
        <v>0</v>
      </c>
      <c r="AN157" s="6">
        <v>0</v>
      </c>
      <c r="AP157" s="6">
        <v>0</v>
      </c>
      <c r="AR157" s="6">
        <v>0</v>
      </c>
      <c r="AT157" s="6">
        <v>0</v>
      </c>
      <c r="AV157" s="6">
        <v>0</v>
      </c>
      <c r="AX157" s="6">
        <v>0</v>
      </c>
      <c r="AZ157" s="6">
        <v>0</v>
      </c>
      <c r="BB157" s="6">
        <v>0</v>
      </c>
      <c r="BD157" s="6">
        <v>0</v>
      </c>
      <c r="BF157" s="6">
        <v>0</v>
      </c>
      <c r="BH157" s="6">
        <v>0</v>
      </c>
      <c r="BJ157" s="6">
        <v>0</v>
      </c>
      <c r="BL157" s="6">
        <v>0</v>
      </c>
      <c r="BM157" s="6"/>
      <c r="BN157" s="6">
        <f t="shared" si="31"/>
        <v>24154.980000000003</v>
      </c>
      <c r="BO157" s="6"/>
      <c r="BP157" s="223">
        <v>0</v>
      </c>
      <c r="BQ157" s="6"/>
      <c r="BR157" s="6">
        <f t="shared" si="32"/>
        <v>0</v>
      </c>
      <c r="BT157" s="6">
        <f t="shared" si="33"/>
        <v>24154.980000000003</v>
      </c>
      <c r="BV157" s="6">
        <f>+R157-BT157</f>
        <v>-24154.980000000003</v>
      </c>
      <c r="BW157" s="6"/>
    </row>
    <row r="158" spans="1:75">
      <c r="A158" s="57"/>
      <c r="B158" s="17" t="s">
        <v>213</v>
      </c>
      <c r="C158"/>
      <c r="D158"/>
      <c r="E158"/>
      <c r="F158"/>
      <c r="G158"/>
      <c r="H158"/>
      <c r="I158"/>
      <c r="J158" s="49"/>
      <c r="K158"/>
      <c r="L158" s="132" t="s">
        <v>203</v>
      </c>
      <c r="M158" s="6"/>
      <c r="O158" s="6"/>
      <c r="P158" s="6">
        <v>0</v>
      </c>
      <c r="Q158" s="6"/>
      <c r="R158" s="6">
        <v>0</v>
      </c>
      <c r="S158" s="6"/>
      <c r="T158" s="6">
        <v>0</v>
      </c>
      <c r="U158" s="6"/>
      <c r="V158" s="6">
        <v>0</v>
      </c>
      <c r="X158" s="6">
        <f>776+5384.28</f>
        <v>6160.28</v>
      </c>
      <c r="Z158" s="6">
        <v>12971</v>
      </c>
      <c r="AB158" s="6">
        <v>0</v>
      </c>
      <c r="AD158" s="6">
        <f>26787.21+127637.14</f>
        <v>154424.35</v>
      </c>
      <c r="AF158" s="6">
        <v>0</v>
      </c>
      <c r="AH158" s="6">
        <v>0</v>
      </c>
      <c r="AJ158" s="6">
        <v>0</v>
      </c>
      <c r="AN158" s="6">
        <v>0</v>
      </c>
      <c r="AP158" s="6">
        <v>0</v>
      </c>
      <c r="AR158" s="6">
        <v>0</v>
      </c>
      <c r="AT158" s="6">
        <v>0</v>
      </c>
      <c r="AV158" s="6">
        <v>0</v>
      </c>
      <c r="AX158" s="6">
        <v>0</v>
      </c>
      <c r="AZ158" s="6">
        <v>0</v>
      </c>
      <c r="BB158" s="6">
        <v>0</v>
      </c>
      <c r="BD158" s="6">
        <v>0</v>
      </c>
      <c r="BF158" s="6">
        <v>0</v>
      </c>
      <c r="BH158" s="6">
        <v>0</v>
      </c>
      <c r="BJ158" s="6">
        <v>0</v>
      </c>
      <c r="BL158" s="6">
        <v>0</v>
      </c>
      <c r="BM158" s="6"/>
      <c r="BN158" s="6">
        <f t="shared" si="31"/>
        <v>173555.63</v>
      </c>
      <c r="BO158" s="6"/>
      <c r="BP158" s="223">
        <v>0</v>
      </c>
      <c r="BQ158" s="6"/>
      <c r="BR158" s="6">
        <f t="shared" si="32"/>
        <v>0</v>
      </c>
      <c r="BT158" s="6">
        <f t="shared" si="33"/>
        <v>173555.63</v>
      </c>
      <c r="BV158" s="6">
        <f>+R158-BT158</f>
        <v>-173555.63</v>
      </c>
      <c r="BW158" s="6"/>
    </row>
    <row r="159" spans="1:75">
      <c r="A159" s="57"/>
      <c r="B159" s="17" t="s">
        <v>214</v>
      </c>
      <c r="C159"/>
      <c r="D159"/>
      <c r="E159"/>
      <c r="F159"/>
      <c r="G159"/>
      <c r="H159"/>
      <c r="I159"/>
      <c r="J159" s="49"/>
      <c r="K159"/>
      <c r="L159" s="132" t="s">
        <v>203</v>
      </c>
      <c r="M159" s="6"/>
      <c r="O159" s="6"/>
      <c r="P159" s="6">
        <v>0</v>
      </c>
      <c r="Q159" s="6"/>
      <c r="R159" s="6">
        <v>0</v>
      </c>
      <c r="S159" s="6"/>
      <c r="T159" s="6">
        <v>0</v>
      </c>
      <c r="U159" s="6"/>
      <c r="V159" s="6">
        <v>500</v>
      </c>
      <c r="X159" s="6">
        <f>26175.94+7761.28+9133.76-776-5384.28</f>
        <v>36910.700000000004</v>
      </c>
      <c r="Z159" s="6">
        <f>32361-12971</f>
        <v>19390</v>
      </c>
      <c r="AB159" s="6">
        <f>4296.87+2351.76</f>
        <v>6648.63</v>
      </c>
      <c r="AD159" s="6">
        <f>32813.71+11410.49+1</f>
        <v>44225.2</v>
      </c>
      <c r="AF159" s="6">
        <v>0</v>
      </c>
      <c r="AH159" s="6">
        <v>13721.51</v>
      </c>
      <c r="AJ159" s="6">
        <v>7968.98</v>
      </c>
      <c r="AN159" s="6">
        <v>0</v>
      </c>
      <c r="AP159" s="6">
        <v>0</v>
      </c>
      <c r="AR159" s="6">
        <v>0</v>
      </c>
      <c r="AT159" s="6">
        <v>0</v>
      </c>
      <c r="AV159" s="6">
        <v>0</v>
      </c>
      <c r="AX159" s="6">
        <v>0</v>
      </c>
      <c r="AZ159" s="6">
        <v>0</v>
      </c>
      <c r="BB159" s="6">
        <v>0</v>
      </c>
      <c r="BD159" s="6">
        <v>0</v>
      </c>
      <c r="BF159" s="6">
        <v>0</v>
      </c>
      <c r="BH159" s="6">
        <v>0</v>
      </c>
      <c r="BJ159" s="6">
        <v>0</v>
      </c>
      <c r="BL159" s="6">
        <v>0</v>
      </c>
      <c r="BM159" s="6"/>
      <c r="BN159" s="6">
        <f t="shared" si="31"/>
        <v>129365.01999999999</v>
      </c>
      <c r="BO159" s="6"/>
      <c r="BP159" s="223">
        <v>0</v>
      </c>
      <c r="BQ159" s="6"/>
      <c r="BR159" s="6">
        <f t="shared" si="32"/>
        <v>0</v>
      </c>
      <c r="BT159" s="6">
        <f t="shared" si="33"/>
        <v>129365.01999999999</v>
      </c>
      <c r="BV159" s="6">
        <f>+R159-BT159</f>
        <v>-129365.01999999999</v>
      </c>
      <c r="BW159" s="6"/>
    </row>
    <row r="160" spans="1:75">
      <c r="A160" s="57"/>
      <c r="B160" s="17" t="s">
        <v>215</v>
      </c>
      <c r="C160"/>
      <c r="D160"/>
      <c r="E160"/>
      <c r="F160"/>
      <c r="G160"/>
      <c r="H160"/>
      <c r="I160"/>
      <c r="J160" s="49"/>
      <c r="K160"/>
      <c r="L160" s="132" t="s">
        <v>203</v>
      </c>
      <c r="M160" s="6"/>
      <c r="O160" s="6"/>
      <c r="P160" s="6">
        <v>0</v>
      </c>
      <c r="Q160" s="6"/>
      <c r="R160" s="6">
        <v>0</v>
      </c>
      <c r="S160" s="6"/>
      <c r="T160" s="6">
        <v>0</v>
      </c>
      <c r="U160" s="6"/>
      <c r="V160" s="6">
        <v>0</v>
      </c>
      <c r="X160" s="6">
        <v>0</v>
      </c>
      <c r="Z160" s="6">
        <v>0</v>
      </c>
      <c r="AB160" s="6">
        <v>0</v>
      </c>
      <c r="AD160" s="6">
        <v>13095</v>
      </c>
      <c r="AF160" s="6">
        <v>0</v>
      </c>
      <c r="AH160" s="6">
        <v>0</v>
      </c>
      <c r="AJ160" s="6">
        <v>0</v>
      </c>
      <c r="AN160" s="6">
        <v>0</v>
      </c>
      <c r="AP160" s="6">
        <v>0</v>
      </c>
      <c r="AR160" s="6">
        <v>0</v>
      </c>
      <c r="AT160" s="6">
        <v>0</v>
      </c>
      <c r="AV160" s="6">
        <v>0</v>
      </c>
      <c r="AX160" s="6">
        <v>0</v>
      </c>
      <c r="AZ160" s="6">
        <v>0</v>
      </c>
      <c r="BB160" s="6">
        <v>0</v>
      </c>
      <c r="BD160" s="6">
        <v>0</v>
      </c>
      <c r="BF160" s="6">
        <v>0</v>
      </c>
      <c r="BH160" s="6">
        <v>0</v>
      </c>
      <c r="BJ160" s="6">
        <v>0</v>
      </c>
      <c r="BL160" s="6">
        <v>0</v>
      </c>
      <c r="BM160" s="6"/>
      <c r="BN160" s="6">
        <f t="shared" si="31"/>
        <v>13095</v>
      </c>
      <c r="BO160" s="6"/>
      <c r="BP160" s="223">
        <v>0</v>
      </c>
      <c r="BQ160" s="6"/>
      <c r="BR160" s="6">
        <f t="shared" si="32"/>
        <v>0</v>
      </c>
      <c r="BT160" s="6">
        <f t="shared" si="33"/>
        <v>13095</v>
      </c>
      <c r="BV160" s="6">
        <f>+R160-BT160</f>
        <v>-13095</v>
      </c>
      <c r="BW160" s="6"/>
    </row>
    <row r="161" spans="1:75">
      <c r="A161" s="57"/>
      <c r="B161" s="17" t="s">
        <v>121</v>
      </c>
      <c r="C161"/>
      <c r="D161"/>
      <c r="E161"/>
      <c r="F161"/>
      <c r="G161"/>
      <c r="H161"/>
      <c r="I161"/>
      <c r="J161" s="49"/>
      <c r="K161"/>
      <c r="L161" s="132"/>
      <c r="M161" s="6"/>
      <c r="O161" s="6"/>
      <c r="Q161" s="6"/>
      <c r="R161" s="6">
        <v>0</v>
      </c>
      <c r="S161" s="6"/>
      <c r="T161" s="6"/>
      <c r="U161" s="6"/>
      <c r="V161" s="6"/>
      <c r="X161" s="6"/>
      <c r="Z161" s="6"/>
      <c r="AB161" s="6"/>
      <c r="AD161" s="6"/>
      <c r="AH161" s="6">
        <v>100</v>
      </c>
      <c r="AL161" s="6">
        <f>0</f>
        <v>0</v>
      </c>
      <c r="AN161" s="6">
        <f>379522-370022</f>
        <v>9500</v>
      </c>
      <c r="BL161" s="6"/>
      <c r="BM161" s="6"/>
      <c r="BN161" s="6">
        <f t="shared" si="31"/>
        <v>9600</v>
      </c>
      <c r="BO161" s="6"/>
      <c r="BP161" s="223">
        <v>0</v>
      </c>
      <c r="BQ161" s="6"/>
      <c r="BR161" s="6">
        <f t="shared" si="32"/>
        <v>0</v>
      </c>
      <c r="BT161" s="6">
        <f t="shared" si="33"/>
        <v>9600</v>
      </c>
      <c r="BV161" s="6">
        <f>+R161-BT161</f>
        <v>-9600</v>
      </c>
      <c r="BW161" s="6"/>
    </row>
    <row r="162" spans="1:75">
      <c r="A162" s="57"/>
      <c r="B162" s="17"/>
      <c r="C162"/>
      <c r="D162"/>
      <c r="E162"/>
      <c r="F162"/>
      <c r="G162"/>
      <c r="H162"/>
      <c r="I162"/>
      <c r="J162" s="49"/>
      <c r="K162"/>
      <c r="L162" s="132"/>
      <c r="M162" s="6"/>
      <c r="O162" s="6"/>
      <c r="Q162" s="6"/>
      <c r="S162" s="6"/>
      <c r="T162" s="6"/>
      <c r="U162" s="6"/>
      <c r="V162" s="6"/>
      <c r="X162" s="6"/>
      <c r="Z162" s="6"/>
      <c r="AB162" s="6"/>
      <c r="AD162" s="6"/>
      <c r="BL162" s="6"/>
      <c r="BM162" s="6"/>
      <c r="BO162" s="6"/>
      <c r="BP162" s="223"/>
      <c r="BQ162" s="6"/>
      <c r="BR162" s="6">
        <f t="shared" si="32"/>
        <v>0</v>
      </c>
      <c r="BW162" s="6"/>
    </row>
    <row r="163" spans="1:75" s="21" customFormat="1">
      <c r="A163" s="118"/>
      <c r="B163" s="58" t="s">
        <v>183</v>
      </c>
      <c r="J163" s="8"/>
      <c r="L163" s="141"/>
      <c r="M163" s="9"/>
      <c r="N163" s="102">
        <f>SUM(N156:N162)</f>
        <v>0</v>
      </c>
      <c r="O163" s="9"/>
      <c r="P163" s="102">
        <f>SUM(P156:P162)</f>
        <v>0</v>
      </c>
      <c r="Q163" s="9"/>
      <c r="R163" s="102">
        <f>SUM(R156:R162)</f>
        <v>0</v>
      </c>
      <c r="S163" s="9"/>
      <c r="T163" s="102">
        <f>SUM(T156:T162)</f>
        <v>0</v>
      </c>
      <c r="U163" s="9"/>
      <c r="V163" s="102">
        <f>SUM(V156:V162)</f>
        <v>500</v>
      </c>
      <c r="W163" s="9"/>
      <c r="X163" s="102">
        <f>SUM(X156:X162)</f>
        <v>43070.98</v>
      </c>
      <c r="Y163" s="9"/>
      <c r="Z163" s="102">
        <f>SUM(Z156:Z162)</f>
        <v>32361</v>
      </c>
      <c r="AA163" s="9"/>
      <c r="AB163" s="102">
        <f>SUM(AB156:AB162)</f>
        <v>6648.63</v>
      </c>
      <c r="AC163" s="9"/>
      <c r="AD163" s="102">
        <f>SUM(AD156:AD162)</f>
        <v>239729.13</v>
      </c>
      <c r="AE163" s="9"/>
      <c r="AF163" s="102">
        <f>SUM(AF156:AF162)</f>
        <v>46480.12</v>
      </c>
      <c r="AG163" s="9"/>
      <c r="AH163" s="102">
        <f>SUM(AH156:AH162)</f>
        <v>62682.21</v>
      </c>
      <c r="AI163" s="9"/>
      <c r="AJ163" s="102">
        <f>SUM(AJ156:AJ162)</f>
        <v>7968.98</v>
      </c>
      <c r="AK163" s="9"/>
      <c r="AL163" s="102">
        <f>SUM(AL156:AL162)</f>
        <v>-69419</v>
      </c>
      <c r="AM163" s="102"/>
      <c r="AN163" s="102">
        <f>SUM(AN156:AN162)</f>
        <v>9500</v>
      </c>
      <c r="AO163" s="9"/>
      <c r="AP163" s="102">
        <f>SUM(AP156:AP162)</f>
        <v>0</v>
      </c>
      <c r="AQ163" s="9"/>
      <c r="AR163" s="102">
        <f>SUM(AR156:AR162)</f>
        <v>0</v>
      </c>
      <c r="AS163" s="9"/>
      <c r="AT163" s="102">
        <f>SUM(AT156:AT162)</f>
        <v>0</v>
      </c>
      <c r="AU163" s="9"/>
      <c r="AV163" s="102">
        <f>SUM(AV156:AV162)</f>
        <v>0</v>
      </c>
      <c r="AW163" s="10"/>
      <c r="AX163" s="102">
        <f>SUM(AX156:AX162)</f>
        <v>0</v>
      </c>
      <c r="AY163" s="10"/>
      <c r="AZ163" s="102">
        <f>SUM(AZ156:AZ162)</f>
        <v>0</v>
      </c>
      <c r="BA163" s="10"/>
      <c r="BB163" s="102">
        <f>SUM(BB156:BB162)</f>
        <v>0</v>
      </c>
      <c r="BC163" s="10"/>
      <c r="BD163" s="102">
        <f>SUM(BD156:BD162)</f>
        <v>0</v>
      </c>
      <c r="BE163" s="10"/>
      <c r="BF163" s="102">
        <f>SUM(BF156:BF162)</f>
        <v>0</v>
      </c>
      <c r="BG163" s="10"/>
      <c r="BH163" s="102">
        <f>SUM(BH156:BH162)</f>
        <v>0</v>
      </c>
      <c r="BI163" s="10"/>
      <c r="BJ163" s="102">
        <f>SUM(BJ156:BJ162)</f>
        <v>0</v>
      </c>
      <c r="BK163" s="10"/>
      <c r="BL163" s="102">
        <f>SUM(BL156:BL162)</f>
        <v>0</v>
      </c>
      <c r="BM163" s="9"/>
      <c r="BN163" s="102">
        <f>SUM(BN156:BN162)</f>
        <v>379522.05000000005</v>
      </c>
      <c r="BO163" s="9"/>
      <c r="BP163" s="102">
        <f>SUM(BP156:BP162)</f>
        <v>0</v>
      </c>
      <c r="BQ163" s="9"/>
      <c r="BR163" s="102">
        <f>SUM(BR156:BR162)</f>
        <v>0</v>
      </c>
      <c r="BS163" s="9"/>
      <c r="BT163" s="102">
        <f>SUM(BT156:BT162)</f>
        <v>379522.05000000005</v>
      </c>
      <c r="BU163" s="9"/>
      <c r="BV163" s="102">
        <f>SUM(BV156:BV162)</f>
        <v>-379522.05000000005</v>
      </c>
      <c r="BW163" s="9"/>
    </row>
    <row r="164" spans="1:75" s="21" customFormat="1">
      <c r="A164" s="118"/>
      <c r="B164" s="58"/>
      <c r="J164" s="8"/>
      <c r="L164" s="141"/>
      <c r="M164" s="9"/>
      <c r="N164" s="10"/>
      <c r="O164" s="9"/>
      <c r="P164" s="10"/>
      <c r="Q164" s="9"/>
      <c r="R164" s="10"/>
      <c r="S164" s="9"/>
      <c r="T164" s="10"/>
      <c r="U164" s="9"/>
      <c r="V164" s="10"/>
      <c r="W164" s="9"/>
      <c r="X164" s="10"/>
      <c r="Y164" s="9"/>
      <c r="Z164" s="10"/>
      <c r="AA164" s="9"/>
      <c r="AB164" s="10"/>
      <c r="AC164" s="9"/>
      <c r="AD164" s="10"/>
      <c r="AE164" s="9"/>
      <c r="AF164" s="10"/>
      <c r="AG164" s="9"/>
      <c r="AH164" s="10"/>
      <c r="AI164" s="9"/>
      <c r="AJ164" s="10"/>
      <c r="AK164" s="9"/>
      <c r="AL164" s="10"/>
      <c r="AM164" s="9"/>
      <c r="AN164" s="10"/>
      <c r="AO164" s="9"/>
      <c r="AP164" s="10"/>
      <c r="AQ164" s="9"/>
      <c r="AR164" s="10"/>
      <c r="AS164" s="9"/>
      <c r="AT164" s="10"/>
      <c r="AU164" s="9"/>
      <c r="AV164" s="10"/>
      <c r="AW164" s="10"/>
      <c r="AX164" s="10"/>
      <c r="AY164" s="10"/>
      <c r="AZ164" s="10"/>
      <c r="BA164" s="10"/>
      <c r="BB164" s="10"/>
      <c r="BC164" s="10"/>
      <c r="BD164" s="10"/>
      <c r="BE164" s="10"/>
      <c r="BF164" s="10"/>
      <c r="BG164" s="10"/>
      <c r="BH164" s="10"/>
      <c r="BI164" s="10"/>
      <c r="BJ164" s="10"/>
      <c r="BK164" s="10"/>
      <c r="BL164" s="10"/>
      <c r="BM164" s="9"/>
      <c r="BN164" s="10"/>
      <c r="BO164" s="9"/>
      <c r="BP164" s="10"/>
      <c r="BQ164" s="9"/>
      <c r="BR164" s="10"/>
      <c r="BS164" s="9"/>
      <c r="BT164" s="10"/>
      <c r="BU164" s="9"/>
      <c r="BV164" s="10"/>
      <c r="BW164" s="9"/>
    </row>
    <row r="165" spans="1:75">
      <c r="A165" s="56" t="s">
        <v>269</v>
      </c>
      <c r="B165" s="11"/>
      <c r="C165"/>
      <c r="D165"/>
      <c r="E165"/>
      <c r="F165"/>
      <c r="G165"/>
      <c r="H165"/>
      <c r="I165"/>
      <c r="J165"/>
      <c r="K165" s="132"/>
      <c r="L165" s="6"/>
      <c r="M165" s="6"/>
      <c r="O165" s="6"/>
      <c r="Q165" s="6"/>
      <c r="S165" s="6"/>
      <c r="T165" s="6"/>
      <c r="U165" s="6"/>
      <c r="V165" s="6"/>
      <c r="X165" s="6"/>
      <c r="Z165" s="6"/>
      <c r="AB165" s="6"/>
      <c r="AD165" s="6"/>
      <c r="BL165" s="6"/>
      <c r="BM165" s="6"/>
      <c r="BO165" s="6"/>
      <c r="BP165" s="6"/>
      <c r="BQ165" s="6"/>
      <c r="BV165" s="4"/>
    </row>
    <row r="166" spans="1:75">
      <c r="A166" s="56"/>
      <c r="B166" s="11" t="s">
        <v>270</v>
      </c>
      <c r="C166"/>
      <c r="D166"/>
      <c r="E166"/>
      <c r="F166"/>
      <c r="G166"/>
      <c r="H166"/>
      <c r="I166"/>
      <c r="J166"/>
      <c r="K166" s="132" t="s">
        <v>202</v>
      </c>
      <c r="L166" s="6"/>
      <c r="M166" s="6">
        <v>0</v>
      </c>
      <c r="O166" s="6">
        <v>60000</v>
      </c>
      <c r="Q166" s="6">
        <f>+M166+O166</f>
        <v>60000</v>
      </c>
      <c r="R166" s="6">
        <v>0</v>
      </c>
      <c r="S166" s="6"/>
      <c r="T166" s="6">
        <v>0</v>
      </c>
      <c r="U166" s="6"/>
      <c r="V166" s="4"/>
      <c r="X166" s="6">
        <v>7500</v>
      </c>
      <c r="Z166" s="6">
        <v>0</v>
      </c>
      <c r="AB166" s="6">
        <v>0</v>
      </c>
      <c r="AD166" s="6">
        <v>0</v>
      </c>
      <c r="AF166" s="6">
        <v>0</v>
      </c>
      <c r="AH166" s="6">
        <v>0</v>
      </c>
      <c r="AJ166" s="6">
        <v>0</v>
      </c>
      <c r="AN166" s="6">
        <v>0</v>
      </c>
      <c r="AP166" s="6">
        <v>0</v>
      </c>
      <c r="AR166" s="6">
        <v>0</v>
      </c>
      <c r="AT166" s="6">
        <v>0</v>
      </c>
      <c r="AV166" s="6">
        <v>0</v>
      </c>
      <c r="AX166" s="6">
        <v>0</v>
      </c>
      <c r="AZ166" s="6">
        <v>0</v>
      </c>
      <c r="BB166" s="6">
        <v>0</v>
      </c>
      <c r="BD166" s="6">
        <v>0</v>
      </c>
      <c r="BF166" s="6">
        <v>0</v>
      </c>
      <c r="BH166" s="6">
        <v>0</v>
      </c>
      <c r="BJ166" s="6">
        <v>0</v>
      </c>
      <c r="BL166" s="6">
        <v>0</v>
      </c>
      <c r="BM166" s="6"/>
      <c r="BN166" s="6">
        <f>SUM(T166:BM166)</f>
        <v>7500</v>
      </c>
      <c r="BO166" s="6"/>
      <c r="BP166" s="6">
        <v>0</v>
      </c>
      <c r="BQ166" s="6"/>
      <c r="BR166" s="6">
        <f>IF(+R166-BN166+BP166&gt;0,R166-BN166+BP166,0)</f>
        <v>0</v>
      </c>
      <c r="BT166" s="6">
        <f>+BN166+BR166</f>
        <v>7500</v>
      </c>
      <c r="BU166" s="6">
        <f>+BO166+BS166</f>
        <v>0</v>
      </c>
      <c r="BV166" s="6">
        <f>+R166-BT166</f>
        <v>-7500</v>
      </c>
    </row>
    <row r="167" spans="1:75">
      <c r="A167" s="56"/>
      <c r="B167" s="11" t="s">
        <v>271</v>
      </c>
      <c r="C167"/>
      <c r="D167"/>
      <c r="E167"/>
      <c r="F167"/>
      <c r="G167"/>
      <c r="H167"/>
      <c r="I167"/>
      <c r="J167"/>
      <c r="K167" s="132" t="s">
        <v>202</v>
      </c>
      <c r="L167" s="6"/>
      <c r="M167" s="6">
        <v>7500</v>
      </c>
      <c r="O167" s="6">
        <f>35000-M167</f>
        <v>27500</v>
      </c>
      <c r="Q167" s="6">
        <f>+M167+O167</f>
        <v>35000</v>
      </c>
      <c r="R167" s="6">
        <v>0</v>
      </c>
      <c r="S167" s="6"/>
      <c r="T167" s="6">
        <v>0</v>
      </c>
      <c r="U167" s="6"/>
      <c r="V167" s="6">
        <v>0</v>
      </c>
      <c r="X167" s="6">
        <v>0</v>
      </c>
      <c r="Z167" s="6">
        <v>0</v>
      </c>
      <c r="AB167" s="6">
        <v>0</v>
      </c>
      <c r="AD167" s="6">
        <v>0</v>
      </c>
      <c r="AF167" s="6">
        <v>0</v>
      </c>
      <c r="AH167" s="6">
        <v>0</v>
      </c>
      <c r="AJ167" s="6">
        <v>0</v>
      </c>
      <c r="AN167" s="6">
        <v>0</v>
      </c>
      <c r="AP167" s="6">
        <v>0</v>
      </c>
      <c r="AR167" s="6">
        <v>0</v>
      </c>
      <c r="AT167" s="6">
        <v>0</v>
      </c>
      <c r="AV167" s="6">
        <v>0</v>
      </c>
      <c r="AX167" s="6">
        <v>0</v>
      </c>
      <c r="AZ167" s="6">
        <v>0</v>
      </c>
      <c r="BB167" s="6">
        <v>0</v>
      </c>
      <c r="BD167" s="6">
        <v>0</v>
      </c>
      <c r="BF167" s="6">
        <v>0</v>
      </c>
      <c r="BH167" s="6">
        <v>0</v>
      </c>
      <c r="BJ167" s="6">
        <v>0</v>
      </c>
      <c r="BL167" s="6">
        <v>0</v>
      </c>
      <c r="BM167" s="6"/>
      <c r="BN167" s="6">
        <f>SUM(T167:BM167)</f>
        <v>0</v>
      </c>
      <c r="BO167" s="6"/>
      <c r="BP167" s="6">
        <v>0</v>
      </c>
      <c r="BQ167" s="6"/>
      <c r="BR167" s="6">
        <f>IF(+R167-BN167+BP167&gt;0,R167-BN167+BP167,0)</f>
        <v>0</v>
      </c>
      <c r="BT167" s="6">
        <f>+BN167+BR167</f>
        <v>0</v>
      </c>
      <c r="BV167" s="4"/>
    </row>
    <row r="168" spans="1:75">
      <c r="A168" s="56"/>
      <c r="B168" s="11" t="s">
        <v>272</v>
      </c>
      <c r="C168"/>
      <c r="D168"/>
      <c r="E168"/>
      <c r="F168"/>
      <c r="G168"/>
      <c r="H168"/>
      <c r="I168"/>
      <c r="J168"/>
      <c r="K168" s="132" t="s">
        <v>202</v>
      </c>
      <c r="L168" s="6"/>
      <c r="M168" s="6">
        <f>1992500</f>
        <v>1992500</v>
      </c>
      <c r="O168" s="6">
        <f>2200000-M168</f>
        <v>207500</v>
      </c>
      <c r="Q168" s="6">
        <f>+M168+O168</f>
        <v>2200000</v>
      </c>
      <c r="R168" s="6">
        <v>0</v>
      </c>
      <c r="S168" s="6"/>
      <c r="T168" s="6">
        <v>0</v>
      </c>
      <c r="U168" s="6"/>
      <c r="V168" s="6">
        <v>0</v>
      </c>
      <c r="X168" s="6">
        <v>0</v>
      </c>
      <c r="Z168" s="6">
        <v>0</v>
      </c>
      <c r="AB168" s="6">
        <v>0</v>
      </c>
      <c r="AD168" s="6">
        <v>0</v>
      </c>
      <c r="AF168" s="6">
        <v>0</v>
      </c>
      <c r="AH168" s="6">
        <v>0</v>
      </c>
      <c r="AJ168" s="6">
        <v>0</v>
      </c>
      <c r="AN168" s="6">
        <v>0</v>
      </c>
      <c r="AP168" s="6">
        <v>0</v>
      </c>
      <c r="AR168" s="6">
        <v>0</v>
      </c>
      <c r="AT168" s="6">
        <v>0</v>
      </c>
      <c r="AV168" s="6">
        <v>0</v>
      </c>
      <c r="AX168" s="6">
        <v>0</v>
      </c>
      <c r="AZ168" s="6">
        <v>0</v>
      </c>
      <c r="BB168" s="6">
        <v>0</v>
      </c>
      <c r="BD168" s="6">
        <v>0</v>
      </c>
      <c r="BF168" s="6">
        <v>0</v>
      </c>
      <c r="BH168" s="6">
        <v>0</v>
      </c>
      <c r="BJ168" s="6">
        <v>0</v>
      </c>
      <c r="BL168" s="6">
        <v>0</v>
      </c>
      <c r="BM168" s="6"/>
      <c r="BN168" s="6">
        <f>SUM(T168:BM168)</f>
        <v>0</v>
      </c>
      <c r="BO168" s="6"/>
      <c r="BP168" s="6">
        <v>0</v>
      </c>
      <c r="BQ168" s="6"/>
      <c r="BR168" s="6">
        <f>IF(+R168-BN168+BP168&gt;0,R168-BN168+BP168,0)</f>
        <v>0</v>
      </c>
      <c r="BT168" s="6">
        <f>+BN168+BR168</f>
        <v>0</v>
      </c>
      <c r="BV168" s="4"/>
    </row>
    <row r="169" spans="1:75">
      <c r="A169" s="56"/>
      <c r="B169" s="11"/>
      <c r="C169"/>
      <c r="D169"/>
      <c r="E169"/>
      <c r="F169"/>
      <c r="G169"/>
      <c r="H169"/>
      <c r="I169"/>
      <c r="J169"/>
      <c r="K169" s="132"/>
      <c r="L169" s="6"/>
      <c r="M169" s="6"/>
      <c r="O169" s="6"/>
      <c r="Q169" s="6"/>
      <c r="S169" s="6"/>
      <c r="T169" s="6"/>
      <c r="U169" s="6"/>
      <c r="V169" s="6"/>
      <c r="X169" s="6"/>
      <c r="Z169" s="6"/>
      <c r="AB169" s="6"/>
      <c r="AD169" s="6"/>
      <c r="BL169" s="6"/>
      <c r="BM169" s="6"/>
      <c r="BO169" s="6"/>
      <c r="BP169" s="6"/>
      <c r="BQ169" s="6"/>
      <c r="BR169" s="6">
        <f>IF(+R169-BN169+BP169&gt;0,R169-BN169+BP169,0)</f>
        <v>0</v>
      </c>
      <c r="BT169" s="6">
        <f>+BN169+BR169</f>
        <v>0</v>
      </c>
      <c r="BV169" s="4"/>
    </row>
    <row r="170" spans="1:75" s="21" customFormat="1">
      <c r="A170" s="56"/>
      <c r="B170" s="31" t="s">
        <v>273</v>
      </c>
      <c r="K170" s="141"/>
      <c r="L170" s="9"/>
      <c r="M170" s="102">
        <f>SUM(M166:M169)</f>
        <v>2000000</v>
      </c>
      <c r="N170" s="9"/>
      <c r="O170" s="102">
        <f>SUM(O166:O169)</f>
        <v>295000</v>
      </c>
      <c r="P170" s="9"/>
      <c r="Q170" s="102">
        <f>SUM(Q166:Q169)</f>
        <v>2295000</v>
      </c>
      <c r="R170" s="102">
        <f>SUM(R166:R169)</f>
        <v>0</v>
      </c>
      <c r="S170" s="9"/>
      <c r="T170" s="102">
        <f>SUM(T166:T169)</f>
        <v>0</v>
      </c>
      <c r="U170" s="9"/>
      <c r="V170" s="102">
        <f>SUM(V166:V169)</f>
        <v>0</v>
      </c>
      <c r="W170" s="9"/>
      <c r="X170" s="102">
        <f>SUM(X166:X169)</f>
        <v>7500</v>
      </c>
      <c r="Y170" s="9"/>
      <c r="Z170" s="102">
        <f>SUM(Z166:Z169)</f>
        <v>0</v>
      </c>
      <c r="AA170" s="9"/>
      <c r="AB170" s="102">
        <f>SUM(AB166:AB169)</f>
        <v>0</v>
      </c>
      <c r="AC170" s="9"/>
      <c r="AD170" s="102">
        <f>SUM(AD166:AD169)</f>
        <v>0</v>
      </c>
      <c r="AE170" s="9"/>
      <c r="AF170" s="102">
        <f>SUM(AF166:AF169)</f>
        <v>0</v>
      </c>
      <c r="AG170" s="9"/>
      <c r="AH170" s="102">
        <f>SUM(AH166:AH169)</f>
        <v>0</v>
      </c>
      <c r="AI170" s="9"/>
      <c r="AJ170" s="102">
        <f>SUM(AJ166:AJ169)</f>
        <v>0</v>
      </c>
      <c r="AK170" s="9"/>
      <c r="AL170" s="102">
        <f>SUM(AL166:AL169)</f>
        <v>0</v>
      </c>
      <c r="AM170" s="102"/>
      <c r="AN170" s="102">
        <f>SUM(AN166:AN169)</f>
        <v>0</v>
      </c>
      <c r="AO170" s="9"/>
      <c r="AP170" s="102">
        <f>SUM(AP166:AP169)</f>
        <v>0</v>
      </c>
      <c r="AQ170" s="9"/>
      <c r="AR170" s="102">
        <f>SUM(AR166:AR169)</f>
        <v>0</v>
      </c>
      <c r="AS170" s="9"/>
      <c r="AT170" s="102">
        <f>SUM(AT166:AT169)</f>
        <v>0</v>
      </c>
      <c r="AU170" s="10"/>
      <c r="AV170" s="102">
        <f>SUM(AV166:AV169)</f>
        <v>0</v>
      </c>
      <c r="AW170" s="10"/>
      <c r="AX170" s="102">
        <f>SUM(AX166:AX169)</f>
        <v>0</v>
      </c>
      <c r="AY170" s="10"/>
      <c r="AZ170" s="102">
        <f>SUM(AZ166:AZ169)</f>
        <v>0</v>
      </c>
      <c r="BA170" s="10"/>
      <c r="BB170" s="102">
        <f>SUM(BB166:BB169)</f>
        <v>0</v>
      </c>
      <c r="BC170" s="10"/>
      <c r="BD170" s="102">
        <f>SUM(BD166:BD169)</f>
        <v>0</v>
      </c>
      <c r="BE170" s="10"/>
      <c r="BF170" s="102">
        <f>SUM(BF166:BF169)</f>
        <v>0</v>
      </c>
      <c r="BG170" s="10"/>
      <c r="BH170" s="102">
        <f>SUM(BH166:BH169)</f>
        <v>0</v>
      </c>
      <c r="BI170" s="10"/>
      <c r="BJ170" s="102">
        <f>SUM(BJ166:BJ169)</f>
        <v>0</v>
      </c>
      <c r="BK170" s="9"/>
      <c r="BL170" s="102">
        <f>SUM(BL166:BL169)</f>
        <v>0</v>
      </c>
      <c r="BM170" s="9"/>
      <c r="BN170" s="102">
        <f>SUM(BN166:BN169)</f>
        <v>7500</v>
      </c>
      <c r="BO170" s="9"/>
      <c r="BP170" s="102">
        <f>SUM(BP166:BP169)</f>
        <v>0</v>
      </c>
      <c r="BQ170" s="9"/>
      <c r="BR170" s="102">
        <f>SUM(BR166:BR169)</f>
        <v>0</v>
      </c>
      <c r="BS170" s="9"/>
      <c r="BT170" s="102">
        <f>SUM(BT166:BT169)</f>
        <v>7500</v>
      </c>
      <c r="BU170" s="102">
        <f>SUM(BU166:BU169)</f>
        <v>0</v>
      </c>
      <c r="BV170" s="102">
        <f>SUM(BV166:BV169)</f>
        <v>-7500</v>
      </c>
    </row>
    <row r="171" spans="1:75" s="21" customFormat="1">
      <c r="A171" s="56"/>
      <c r="B171" s="31"/>
      <c r="K171" s="141"/>
      <c r="L171" s="9"/>
      <c r="M171" s="10"/>
      <c r="N171" s="9"/>
      <c r="O171" s="10"/>
      <c r="P171" s="9"/>
      <c r="Q171" s="10"/>
      <c r="R171" s="10"/>
      <c r="S171" s="9"/>
      <c r="T171" s="10"/>
      <c r="U171" s="9"/>
      <c r="V171" s="10"/>
      <c r="W171" s="9"/>
      <c r="X171" s="10"/>
      <c r="Y171" s="9"/>
      <c r="Z171" s="10"/>
      <c r="AA171" s="9"/>
      <c r="AB171" s="10"/>
      <c r="AC171" s="9"/>
      <c r="AD171" s="10"/>
      <c r="AE171" s="9"/>
      <c r="AF171" s="10"/>
      <c r="AG171" s="9"/>
      <c r="AH171" s="10"/>
      <c r="AI171" s="9"/>
      <c r="AJ171" s="10"/>
      <c r="AK171" s="9"/>
      <c r="AL171" s="10"/>
      <c r="AM171" s="9"/>
      <c r="AN171" s="10"/>
      <c r="AO171" s="9"/>
      <c r="AP171" s="10"/>
      <c r="AQ171" s="9"/>
      <c r="AR171" s="10"/>
      <c r="AS171" s="9"/>
      <c r="AT171" s="10"/>
      <c r="AU171" s="10"/>
      <c r="AV171" s="10"/>
      <c r="AW171" s="10"/>
      <c r="AX171" s="10"/>
      <c r="AY171" s="10"/>
      <c r="AZ171" s="10"/>
      <c r="BA171" s="10"/>
      <c r="BB171" s="10"/>
      <c r="BC171" s="10"/>
      <c r="BD171" s="10"/>
      <c r="BE171" s="10"/>
      <c r="BF171" s="10"/>
      <c r="BG171" s="10"/>
      <c r="BH171" s="10"/>
      <c r="BI171" s="10"/>
      <c r="BJ171" s="10"/>
      <c r="BK171" s="9"/>
      <c r="BL171" s="10"/>
      <c r="BM171" s="9"/>
      <c r="BN171" s="10"/>
      <c r="BO171" s="9"/>
      <c r="BP171" s="10"/>
      <c r="BQ171" s="9"/>
      <c r="BR171" s="10"/>
      <c r="BS171" s="9"/>
      <c r="BT171" s="10"/>
      <c r="BU171" s="9"/>
    </row>
    <row r="172" spans="1:75" s="21" customFormat="1">
      <c r="A172" s="56" t="s">
        <v>29</v>
      </c>
      <c r="B172" s="31"/>
      <c r="J172" s="8" t="s">
        <v>0</v>
      </c>
      <c r="L172" s="132" t="s">
        <v>202</v>
      </c>
      <c r="M172" s="9"/>
      <c r="N172" s="9">
        <v>0</v>
      </c>
      <c r="O172" s="9"/>
      <c r="P172" s="9">
        <v>0</v>
      </c>
      <c r="Q172" s="9"/>
      <c r="R172" s="9">
        <v>0</v>
      </c>
      <c r="S172" s="9"/>
      <c r="T172" s="9">
        <v>0</v>
      </c>
      <c r="U172" s="9"/>
      <c r="V172" s="9">
        <v>0</v>
      </c>
      <c r="W172" s="9"/>
      <c r="X172" s="9">
        <v>0</v>
      </c>
      <c r="Y172" s="9"/>
      <c r="Z172" s="9">
        <v>0</v>
      </c>
      <c r="AA172" s="9"/>
      <c r="AB172" s="9">
        <v>0</v>
      </c>
      <c r="AC172" s="9"/>
      <c r="AD172" s="9">
        <v>0</v>
      </c>
      <c r="AE172" s="9"/>
      <c r="AF172" s="9">
        <v>0</v>
      </c>
      <c r="AG172" s="9"/>
      <c r="AH172" s="9">
        <v>0</v>
      </c>
      <c r="AI172" s="9"/>
      <c r="AJ172" s="9">
        <v>0</v>
      </c>
      <c r="AK172" s="9"/>
      <c r="AL172" s="9"/>
      <c r="AM172" s="9"/>
      <c r="AN172" s="9">
        <v>0</v>
      </c>
      <c r="AO172" s="9"/>
      <c r="AP172" s="9">
        <v>0</v>
      </c>
      <c r="AQ172" s="9"/>
      <c r="AR172" s="9">
        <v>0</v>
      </c>
      <c r="AS172" s="9"/>
      <c r="AT172" s="9">
        <v>0</v>
      </c>
      <c r="AU172" s="9"/>
      <c r="AV172" s="9">
        <v>0</v>
      </c>
      <c r="AW172" s="9"/>
      <c r="AX172" s="9">
        <v>0</v>
      </c>
      <c r="AY172" s="9"/>
      <c r="AZ172" s="9">
        <v>0</v>
      </c>
      <c r="BA172" s="9"/>
      <c r="BB172" s="9">
        <v>0</v>
      </c>
      <c r="BC172" s="9"/>
      <c r="BD172" s="9">
        <v>0</v>
      </c>
      <c r="BE172" s="9"/>
      <c r="BF172" s="9">
        <v>0</v>
      </c>
      <c r="BG172" s="9"/>
      <c r="BH172" s="9">
        <v>0</v>
      </c>
      <c r="BI172" s="9"/>
      <c r="BJ172" s="9">
        <v>0</v>
      </c>
      <c r="BK172" s="9"/>
      <c r="BL172" s="9">
        <v>0</v>
      </c>
      <c r="BM172" s="9"/>
      <c r="BN172" s="9">
        <f>SUM(T172:BM172)</f>
        <v>0</v>
      </c>
      <c r="BO172" s="9"/>
      <c r="BP172" s="9">
        <v>0</v>
      </c>
      <c r="BQ172" s="9"/>
      <c r="BR172" s="6">
        <f>IF(+R172-BN172+BP172&gt;0,R172-BN172+BP172,0)</f>
        <v>0</v>
      </c>
      <c r="BS172" s="9"/>
      <c r="BT172" s="9">
        <f>+BN172+BR172</f>
        <v>0</v>
      </c>
      <c r="BU172" s="9"/>
      <c r="BV172" s="9">
        <f>+R172-BT172</f>
        <v>0</v>
      </c>
      <c r="BW172" s="9"/>
    </row>
    <row r="173" spans="1:75" s="21" customFormat="1">
      <c r="A173" s="118"/>
      <c r="B173" s="58"/>
      <c r="J173" s="8"/>
      <c r="L173" s="141"/>
      <c r="M173" s="9"/>
      <c r="N173" s="10"/>
      <c r="O173" s="9"/>
      <c r="P173" s="10"/>
      <c r="Q173" s="9"/>
      <c r="R173" s="10"/>
      <c r="S173" s="9"/>
      <c r="T173" s="10"/>
      <c r="U173" s="9"/>
      <c r="V173" s="10"/>
      <c r="W173" s="9"/>
      <c r="X173" s="10"/>
      <c r="Y173" s="9"/>
      <c r="Z173" s="10"/>
      <c r="AA173" s="9"/>
      <c r="AB173" s="10"/>
      <c r="AC173" s="9"/>
      <c r="AD173" s="10"/>
      <c r="AE173" s="9"/>
      <c r="AF173" s="10"/>
      <c r="AG173" s="9"/>
      <c r="AH173" s="10"/>
      <c r="AI173" s="9"/>
      <c r="AJ173" s="10"/>
      <c r="AK173" s="9"/>
      <c r="AL173" s="10"/>
      <c r="AM173" s="9"/>
      <c r="AN173" s="10"/>
      <c r="AO173" s="9"/>
      <c r="AP173" s="10"/>
      <c r="AQ173" s="9"/>
      <c r="AR173" s="10"/>
      <c r="AS173" s="9"/>
      <c r="AT173" s="10"/>
      <c r="AU173" s="9"/>
      <c r="AV173" s="10"/>
      <c r="AW173" s="10"/>
      <c r="AX173" s="10"/>
      <c r="AY173" s="10"/>
      <c r="AZ173" s="10"/>
      <c r="BA173" s="10"/>
      <c r="BB173" s="10"/>
      <c r="BC173" s="10"/>
      <c r="BD173" s="10"/>
      <c r="BE173" s="10"/>
      <c r="BF173" s="10"/>
      <c r="BG173" s="10"/>
      <c r="BH173" s="10"/>
      <c r="BI173" s="10"/>
      <c r="BJ173" s="10"/>
      <c r="BK173" s="10"/>
      <c r="BL173" s="10"/>
      <c r="BM173" s="9"/>
      <c r="BN173" s="10"/>
      <c r="BO173" s="9"/>
      <c r="BP173" s="10"/>
      <c r="BQ173" s="9"/>
      <c r="BR173" s="10"/>
      <c r="BS173" s="9"/>
      <c r="BT173" s="10"/>
      <c r="BU173" s="9"/>
      <c r="BV173" s="10"/>
      <c r="BW173" s="9"/>
    </row>
    <row r="174" spans="1:75" s="15" customFormat="1">
      <c r="A174" s="111" t="s">
        <v>178</v>
      </c>
      <c r="B174" s="60"/>
      <c r="C174"/>
      <c r="D174"/>
      <c r="E174"/>
      <c r="F174"/>
      <c r="G174"/>
      <c r="H174"/>
      <c r="I174"/>
      <c r="J174" s="49"/>
      <c r="K174"/>
      <c r="L174" s="13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  <c r="AA174" s="22"/>
      <c r="AB174" s="22"/>
      <c r="AC174" s="22"/>
      <c r="AD174" s="22"/>
      <c r="AE174" s="22"/>
      <c r="AF174" s="22"/>
      <c r="AG174" s="22"/>
      <c r="AH174" s="22"/>
      <c r="AI174" s="22"/>
      <c r="AJ174" s="22"/>
      <c r="AK174" s="22"/>
      <c r="AL174" s="22"/>
      <c r="AM174" s="22"/>
      <c r="AN174" s="22"/>
      <c r="AO174" s="22"/>
      <c r="AP174" s="22"/>
      <c r="AQ174" s="22"/>
      <c r="AR174" s="22"/>
      <c r="AS174" s="22"/>
      <c r="AT174" s="22"/>
      <c r="AU174" s="22"/>
      <c r="AV174" s="22"/>
      <c r="AW174" s="22"/>
      <c r="AX174" s="22"/>
      <c r="AY174" s="22"/>
      <c r="AZ174" s="22"/>
      <c r="BA174" s="22"/>
      <c r="BB174" s="22"/>
      <c r="BC174" s="22"/>
      <c r="BD174" s="22"/>
      <c r="BE174" s="22"/>
      <c r="BF174" s="22"/>
      <c r="BG174" s="22"/>
      <c r="BH174" s="22"/>
      <c r="BI174" s="22"/>
      <c r="BJ174" s="22"/>
      <c r="BK174" s="22"/>
      <c r="BL174" s="22"/>
      <c r="BM174" s="22"/>
      <c r="BN174" s="22"/>
      <c r="BO174" s="22"/>
      <c r="BP174" s="22"/>
      <c r="BQ174" s="22"/>
      <c r="BR174" s="22"/>
      <c r="BS174" s="22"/>
      <c r="BT174" s="22"/>
      <c r="BU174" s="22"/>
      <c r="BV174" s="22"/>
      <c r="BW174" s="22"/>
    </row>
    <row r="175" spans="1:75" s="15" customFormat="1" hidden="1">
      <c r="A175" s="14"/>
      <c r="B175" s="60" t="s">
        <v>179</v>
      </c>
      <c r="C175"/>
      <c r="D175"/>
      <c r="E175"/>
      <c r="F175"/>
      <c r="G175"/>
      <c r="H175"/>
      <c r="I175"/>
      <c r="J175" s="49"/>
      <c r="K175"/>
      <c r="L175" s="132" t="s">
        <v>202</v>
      </c>
      <c r="M175" s="22"/>
      <c r="N175" s="22">
        <v>0</v>
      </c>
      <c r="O175" s="22"/>
      <c r="P175" s="22">
        <v>0</v>
      </c>
      <c r="Q175" s="22"/>
      <c r="R175" s="6">
        <f>+N175+P175</f>
        <v>0</v>
      </c>
      <c r="S175" s="22"/>
      <c r="T175" s="22">
        <v>0</v>
      </c>
      <c r="U175" s="22"/>
      <c r="V175" s="22">
        <v>0</v>
      </c>
      <c r="W175" s="22"/>
      <c r="X175" s="22">
        <v>0</v>
      </c>
      <c r="Y175" s="22"/>
      <c r="Z175" s="22">
        <v>0</v>
      </c>
      <c r="AA175" s="22"/>
      <c r="AB175" s="22">
        <v>0</v>
      </c>
      <c r="AC175" s="22"/>
      <c r="AD175" s="22">
        <v>0</v>
      </c>
      <c r="AE175" s="22"/>
      <c r="AF175" s="22">
        <v>0</v>
      </c>
      <c r="AG175" s="22"/>
      <c r="AH175" s="22">
        <v>0</v>
      </c>
      <c r="AI175" s="22"/>
      <c r="AJ175" s="22">
        <v>0</v>
      </c>
      <c r="AK175" s="22"/>
      <c r="AL175" s="22"/>
      <c r="AM175" s="22"/>
      <c r="AN175" s="22">
        <v>0</v>
      </c>
      <c r="AO175" s="22"/>
      <c r="AP175" s="22">
        <v>0</v>
      </c>
      <c r="AQ175" s="22"/>
      <c r="AR175" s="22">
        <v>0</v>
      </c>
      <c r="AS175" s="22"/>
      <c r="AT175" s="22">
        <v>0</v>
      </c>
      <c r="AU175" s="22"/>
      <c r="AV175" s="22">
        <v>0</v>
      </c>
      <c r="AW175" s="22"/>
      <c r="AX175" s="22">
        <v>0</v>
      </c>
      <c r="AY175" s="22"/>
      <c r="AZ175" s="22">
        <v>0</v>
      </c>
      <c r="BA175" s="22"/>
      <c r="BB175" s="22">
        <v>0</v>
      </c>
      <c r="BC175" s="22"/>
      <c r="BD175" s="22">
        <v>0</v>
      </c>
      <c r="BE175" s="22"/>
      <c r="BF175" s="22">
        <v>0</v>
      </c>
      <c r="BG175" s="22"/>
      <c r="BH175" s="22">
        <v>0</v>
      </c>
      <c r="BI175" s="22"/>
      <c r="BJ175" s="22">
        <v>0</v>
      </c>
      <c r="BK175" s="22"/>
      <c r="BL175" s="22">
        <v>0</v>
      </c>
      <c r="BM175" s="22"/>
      <c r="BN175" s="22">
        <f>SUM(T175:BM175)</f>
        <v>0</v>
      </c>
      <c r="BO175" s="22"/>
      <c r="BP175" s="22">
        <v>0</v>
      </c>
      <c r="BQ175" s="22"/>
      <c r="BR175" s="22">
        <f>+R175-BN175+BP175</f>
        <v>0</v>
      </c>
      <c r="BS175" s="22"/>
      <c r="BT175" s="6">
        <f>+BN175+BR175</f>
        <v>0</v>
      </c>
      <c r="BU175" s="22"/>
      <c r="BV175" s="6">
        <f>+R175-BT175</f>
        <v>0</v>
      </c>
      <c r="BW175" s="22"/>
    </row>
    <row r="176" spans="1:75" s="15" customFormat="1">
      <c r="A176" s="14"/>
      <c r="B176" s="60" t="s">
        <v>180</v>
      </c>
      <c r="C176"/>
      <c r="D176"/>
      <c r="E176"/>
      <c r="F176"/>
      <c r="G176"/>
      <c r="H176"/>
      <c r="I176"/>
      <c r="J176" s="49"/>
      <c r="K176"/>
      <c r="L176" s="132" t="s">
        <v>202</v>
      </c>
      <c r="M176" s="22"/>
      <c r="N176" s="22">
        <v>0</v>
      </c>
      <c r="O176" s="22"/>
      <c r="P176" s="22">
        <v>0</v>
      </c>
      <c r="Q176" s="22"/>
      <c r="R176" s="6">
        <v>0</v>
      </c>
      <c r="S176" s="22"/>
      <c r="T176" s="22">
        <v>0</v>
      </c>
      <c r="U176" s="22"/>
      <c r="V176" s="22">
        <v>0</v>
      </c>
      <c r="W176" s="22"/>
      <c r="X176" s="22">
        <v>0</v>
      </c>
      <c r="Y176" s="22"/>
      <c r="Z176" s="22">
        <v>0</v>
      </c>
      <c r="AA176" s="22"/>
      <c r="AB176" s="22">
        <v>0</v>
      </c>
      <c r="AC176" s="22"/>
      <c r="AD176" s="22">
        <v>0</v>
      </c>
      <c r="AE176" s="22"/>
      <c r="AF176" s="22">
        <v>0</v>
      </c>
      <c r="AG176" s="22"/>
      <c r="AH176" s="22">
        <v>0</v>
      </c>
      <c r="AI176" s="22"/>
      <c r="AJ176" s="22">
        <v>0</v>
      </c>
      <c r="AK176" s="22"/>
      <c r="AL176" s="22"/>
      <c r="AM176" s="22"/>
      <c r="AN176" s="22">
        <v>0</v>
      </c>
      <c r="AO176" s="22"/>
      <c r="AP176" s="22">
        <v>0</v>
      </c>
      <c r="AQ176" s="22"/>
      <c r="AR176" s="22">
        <v>0</v>
      </c>
      <c r="AS176" s="22"/>
      <c r="AT176" s="22">
        <v>0</v>
      </c>
      <c r="AU176" s="22"/>
      <c r="AV176" s="22">
        <v>0</v>
      </c>
      <c r="AW176" s="22"/>
      <c r="AX176" s="22">
        <v>0</v>
      </c>
      <c r="AY176" s="22"/>
      <c r="AZ176" s="22">
        <v>0</v>
      </c>
      <c r="BA176" s="22"/>
      <c r="BB176" s="22">
        <v>0</v>
      </c>
      <c r="BC176" s="22"/>
      <c r="BD176" s="22">
        <v>0</v>
      </c>
      <c r="BE176" s="22"/>
      <c r="BF176" s="22">
        <v>0</v>
      </c>
      <c r="BG176" s="22"/>
      <c r="BH176" s="22">
        <v>0</v>
      </c>
      <c r="BI176" s="22"/>
      <c r="BJ176" s="22">
        <v>0</v>
      </c>
      <c r="BK176" s="22"/>
      <c r="BL176" s="22">
        <v>0</v>
      </c>
      <c r="BM176" s="22"/>
      <c r="BN176" s="22">
        <f>SUM(T176:BM176)</f>
        <v>0</v>
      </c>
      <c r="BO176" s="22"/>
      <c r="BP176" s="22">
        <v>0</v>
      </c>
      <c r="BQ176" s="22"/>
      <c r="BR176" s="6">
        <f>IF(+R176-BN176+BP176&gt;0,R176-BN176+BP176,0)</f>
        <v>0</v>
      </c>
      <c r="BS176" s="22"/>
      <c r="BT176" s="6">
        <f>+BN176+BR176</f>
        <v>0</v>
      </c>
      <c r="BU176" s="22"/>
      <c r="BV176" s="6">
        <f>+R176-BT176</f>
        <v>0</v>
      </c>
      <c r="BW176" s="22"/>
    </row>
    <row r="177" spans="1:124" s="15" customFormat="1" hidden="1">
      <c r="A177" s="14"/>
      <c r="B177" s="60" t="s">
        <v>121</v>
      </c>
      <c r="C177"/>
      <c r="D177"/>
      <c r="E177"/>
      <c r="F177"/>
      <c r="G177"/>
      <c r="H177"/>
      <c r="I177"/>
      <c r="J177" s="49"/>
      <c r="K177"/>
      <c r="L177" s="132" t="s">
        <v>202</v>
      </c>
      <c r="M177" s="22"/>
      <c r="N177" s="22">
        <v>0</v>
      </c>
      <c r="O177" s="22"/>
      <c r="P177" s="22">
        <v>0</v>
      </c>
      <c r="Q177" s="22"/>
      <c r="R177" s="6">
        <v>0</v>
      </c>
      <c r="S177" s="22"/>
      <c r="T177" s="22">
        <v>0</v>
      </c>
      <c r="U177" s="22"/>
      <c r="V177" s="22">
        <v>0</v>
      </c>
      <c r="W177" s="22"/>
      <c r="X177" s="22">
        <v>0</v>
      </c>
      <c r="Y177" s="22"/>
      <c r="Z177" s="22">
        <v>0</v>
      </c>
      <c r="AA177" s="22"/>
      <c r="AB177" s="22">
        <v>0</v>
      </c>
      <c r="AC177" s="22"/>
      <c r="AD177" s="22">
        <v>0</v>
      </c>
      <c r="AE177" s="22"/>
      <c r="AF177" s="22">
        <v>0</v>
      </c>
      <c r="AG177" s="22"/>
      <c r="AH177" s="22">
        <v>0</v>
      </c>
      <c r="AI177" s="22"/>
      <c r="AJ177" s="22">
        <v>0</v>
      </c>
      <c r="AK177" s="22"/>
      <c r="AL177" s="22"/>
      <c r="AM177" s="22"/>
      <c r="AN177" s="22">
        <v>0</v>
      </c>
      <c r="AO177" s="22"/>
      <c r="AP177" s="22">
        <v>0</v>
      </c>
      <c r="AQ177" s="22"/>
      <c r="AR177" s="22">
        <v>0</v>
      </c>
      <c r="AS177" s="22"/>
      <c r="AT177" s="22">
        <v>0</v>
      </c>
      <c r="AU177" s="22"/>
      <c r="AV177" s="22">
        <v>0</v>
      </c>
      <c r="AW177" s="22"/>
      <c r="AX177" s="22">
        <v>0</v>
      </c>
      <c r="AY177" s="22"/>
      <c r="AZ177" s="22">
        <v>0</v>
      </c>
      <c r="BA177" s="22"/>
      <c r="BB177" s="22">
        <v>0</v>
      </c>
      <c r="BC177" s="22"/>
      <c r="BD177" s="22">
        <v>0</v>
      </c>
      <c r="BE177" s="22"/>
      <c r="BF177" s="22">
        <v>0</v>
      </c>
      <c r="BG177" s="22"/>
      <c r="BH177" s="22">
        <v>0</v>
      </c>
      <c r="BI177" s="22"/>
      <c r="BJ177" s="22">
        <v>0</v>
      </c>
      <c r="BK177" s="22"/>
      <c r="BL177" s="22">
        <v>0</v>
      </c>
      <c r="BM177" s="22"/>
      <c r="BN177" s="22">
        <f>SUM(T177:BM177)</f>
        <v>0</v>
      </c>
      <c r="BO177" s="22"/>
      <c r="BP177" s="22">
        <v>0</v>
      </c>
      <c r="BQ177" s="22"/>
      <c r="BR177" s="22">
        <f>+R177-BN177+BP177</f>
        <v>0</v>
      </c>
      <c r="BS177" s="22"/>
      <c r="BT177" s="6">
        <f>+BN177+BR177</f>
        <v>0</v>
      </c>
      <c r="BU177" s="22"/>
      <c r="BV177" s="6">
        <f>+R177-BT177</f>
        <v>0</v>
      </c>
      <c r="BW177" s="22"/>
    </row>
    <row r="178" spans="1:124" s="104" customFormat="1">
      <c r="A178" s="111"/>
      <c r="B178" s="77" t="s">
        <v>181</v>
      </c>
      <c r="C178" s="21"/>
      <c r="D178" s="21"/>
      <c r="E178" s="21"/>
      <c r="F178" s="21"/>
      <c r="G178" s="21"/>
      <c r="H178" s="21"/>
      <c r="I178" s="21"/>
      <c r="J178" s="8"/>
      <c r="K178" s="21"/>
      <c r="L178" s="141"/>
      <c r="M178" s="16"/>
      <c r="N178" s="108">
        <f>SUM(N175:N177)</f>
        <v>0</v>
      </c>
      <c r="O178" s="16"/>
      <c r="P178" s="108">
        <f>SUM(P175:P177)</f>
        <v>0</v>
      </c>
      <c r="Q178" s="16"/>
      <c r="R178" s="108">
        <f>SUM(R175:R177)</f>
        <v>0</v>
      </c>
      <c r="S178" s="16"/>
      <c r="T178" s="108">
        <f>SUM(T175:T177)</f>
        <v>0</v>
      </c>
      <c r="U178" s="16"/>
      <c r="V178" s="108">
        <f>SUM(V175:V177)</f>
        <v>0</v>
      </c>
      <c r="W178" s="16"/>
      <c r="X178" s="108">
        <f>SUM(X175:X177)</f>
        <v>0</v>
      </c>
      <c r="Y178" s="16"/>
      <c r="Z178" s="108">
        <f>SUM(Z175:Z177)</f>
        <v>0</v>
      </c>
      <c r="AA178" s="16"/>
      <c r="AB178" s="108">
        <f>SUM(AB175:AB177)</f>
        <v>0</v>
      </c>
      <c r="AC178" s="16"/>
      <c r="AD178" s="108">
        <f>SUM(AD175:AD177)</f>
        <v>0</v>
      </c>
      <c r="AE178" s="16"/>
      <c r="AF178" s="108">
        <f>SUM(AF175:AF177)</f>
        <v>0</v>
      </c>
      <c r="AG178" s="16"/>
      <c r="AH178" s="108">
        <f>SUM(AH175:AH177)</f>
        <v>0</v>
      </c>
      <c r="AI178" s="16"/>
      <c r="AJ178" s="108">
        <f>SUM(AJ175:AJ177)</f>
        <v>0</v>
      </c>
      <c r="AK178" s="16"/>
      <c r="AL178" s="108">
        <f>SUM(AL175:AL177)</f>
        <v>0</v>
      </c>
      <c r="AM178" s="108"/>
      <c r="AN178" s="108">
        <f>SUM(AN175:AN177)</f>
        <v>0</v>
      </c>
      <c r="AO178" s="16"/>
      <c r="AP178" s="108">
        <f>SUM(AP175:AP177)</f>
        <v>0</v>
      </c>
      <c r="AQ178" s="16"/>
      <c r="AR178" s="108">
        <f>SUM(AR175:AR177)</f>
        <v>0</v>
      </c>
      <c r="AS178" s="16"/>
      <c r="AT178" s="108">
        <f>SUM(AT175:AT177)</f>
        <v>0</v>
      </c>
      <c r="AU178" s="16"/>
      <c r="AV178" s="108">
        <f>SUM(AV175:AV177)</f>
        <v>0</v>
      </c>
      <c r="AW178" s="103"/>
      <c r="AX178" s="108">
        <f>SUM(AX175:AX177)</f>
        <v>0</v>
      </c>
      <c r="AY178" s="103"/>
      <c r="AZ178" s="108">
        <f>SUM(AZ175:AZ177)</f>
        <v>0</v>
      </c>
      <c r="BA178" s="103"/>
      <c r="BB178" s="108">
        <f>SUM(BB175:BB177)</f>
        <v>0</v>
      </c>
      <c r="BC178" s="103"/>
      <c r="BD178" s="108">
        <f>SUM(BD175:BD177)</f>
        <v>0</v>
      </c>
      <c r="BE178" s="103"/>
      <c r="BF178" s="108">
        <f>SUM(BF175:BF177)</f>
        <v>0</v>
      </c>
      <c r="BG178" s="103"/>
      <c r="BH178" s="108">
        <f>SUM(BH175:BH177)</f>
        <v>0</v>
      </c>
      <c r="BI178" s="103"/>
      <c r="BJ178" s="108">
        <f>SUM(BJ175:BJ177)</f>
        <v>0</v>
      </c>
      <c r="BK178" s="103"/>
      <c r="BL178" s="108">
        <f>SUM(BL175:BL177)</f>
        <v>0</v>
      </c>
      <c r="BM178" s="16"/>
      <c r="BN178" s="108">
        <f>SUM(BN175:BN177)</f>
        <v>0</v>
      </c>
      <c r="BO178" s="16"/>
      <c r="BP178" s="108">
        <f>SUM(BP175:BP177)</f>
        <v>0</v>
      </c>
      <c r="BQ178" s="16"/>
      <c r="BR178" s="108">
        <f>SUM(BR175:BR177)</f>
        <v>0</v>
      </c>
      <c r="BS178" s="16"/>
      <c r="BT178" s="108">
        <f>SUM(BT175:BT177)</f>
        <v>0</v>
      </c>
      <c r="BU178" s="16"/>
      <c r="BV178" s="108">
        <f>SUM(BV175:BV177)</f>
        <v>0</v>
      </c>
      <c r="BW178" s="16"/>
    </row>
    <row r="179" spans="1:124" s="104" customFormat="1">
      <c r="A179" s="32"/>
      <c r="B179" s="77"/>
      <c r="C179" s="21"/>
      <c r="D179" s="21"/>
      <c r="E179" s="21"/>
      <c r="F179" s="21"/>
      <c r="G179" s="21"/>
      <c r="H179" s="21"/>
      <c r="I179" s="21"/>
      <c r="J179" s="8"/>
      <c r="K179" s="21"/>
      <c r="L179" s="141"/>
      <c r="M179" s="16"/>
      <c r="N179" s="103"/>
      <c r="O179" s="16"/>
      <c r="P179" s="103"/>
      <c r="Q179" s="16"/>
      <c r="R179" s="103"/>
      <c r="S179" s="16"/>
      <c r="T179" s="103"/>
      <c r="U179" s="16"/>
      <c r="V179" s="103"/>
      <c r="W179" s="16"/>
      <c r="X179" s="103"/>
      <c r="Y179" s="16"/>
      <c r="Z179" s="103"/>
      <c r="AA179" s="16"/>
      <c r="AB179" s="103"/>
      <c r="AC179" s="16"/>
      <c r="AD179" s="103"/>
      <c r="AE179" s="16"/>
      <c r="AF179" s="103"/>
      <c r="AG179" s="16"/>
      <c r="AH179" s="103"/>
      <c r="AI179" s="16"/>
      <c r="AJ179" s="103"/>
      <c r="AK179" s="16"/>
      <c r="AL179" s="103"/>
      <c r="AM179" s="16"/>
      <c r="AN179" s="103"/>
      <c r="AO179" s="16"/>
      <c r="AP179" s="103"/>
      <c r="AQ179" s="16"/>
      <c r="AR179" s="103"/>
      <c r="AS179" s="16"/>
      <c r="AT179" s="103"/>
      <c r="AU179" s="16"/>
      <c r="AV179" s="103"/>
      <c r="AW179" s="103"/>
      <c r="AX179" s="103"/>
      <c r="AY179" s="103"/>
      <c r="AZ179" s="103"/>
      <c r="BA179" s="103"/>
      <c r="BB179" s="103"/>
      <c r="BC179" s="103"/>
      <c r="BD179" s="103"/>
      <c r="BE179" s="103"/>
      <c r="BF179" s="103"/>
      <c r="BG179" s="103"/>
      <c r="BH179" s="103"/>
      <c r="BI179" s="103"/>
      <c r="BJ179" s="103"/>
      <c r="BK179" s="103"/>
      <c r="BL179" s="103"/>
      <c r="BM179" s="16"/>
      <c r="BN179" s="103"/>
      <c r="BO179" s="16"/>
      <c r="BP179" s="103"/>
      <c r="BQ179" s="16"/>
      <c r="BR179" s="103"/>
      <c r="BS179" s="16"/>
      <c r="BT179" s="103"/>
      <c r="BU179" s="16"/>
      <c r="BV179" s="103"/>
      <c r="BW179" s="16"/>
    </row>
    <row r="180" spans="1:124" s="31" customFormat="1">
      <c r="A180" s="58" t="s">
        <v>31</v>
      </c>
      <c r="J180" s="156"/>
      <c r="L180" s="143" t="s">
        <v>202</v>
      </c>
      <c r="M180" s="10"/>
      <c r="N180" s="10">
        <v>0</v>
      </c>
      <c r="O180" s="10"/>
      <c r="P180" s="10">
        <v>0</v>
      </c>
      <c r="Q180" s="10"/>
      <c r="R180" s="9">
        <v>0</v>
      </c>
      <c r="S180" s="10"/>
      <c r="T180" s="10">
        <v>0</v>
      </c>
      <c r="U180" s="10"/>
      <c r="V180" s="10">
        <v>0</v>
      </c>
      <c r="W180" s="10"/>
      <c r="X180" s="10">
        <v>0</v>
      </c>
      <c r="Y180" s="10"/>
      <c r="Z180" s="10">
        <v>0</v>
      </c>
      <c r="AA180" s="10"/>
      <c r="AB180" s="10">
        <v>0</v>
      </c>
      <c r="AC180" s="10"/>
      <c r="AD180" s="10">
        <v>0</v>
      </c>
      <c r="AE180" s="10"/>
      <c r="AF180" s="10">
        <v>0</v>
      </c>
      <c r="AG180" s="10"/>
      <c r="AH180" s="10">
        <v>0</v>
      </c>
      <c r="AI180" s="10"/>
      <c r="AJ180" s="10">
        <v>0</v>
      </c>
      <c r="AK180" s="10"/>
      <c r="AL180" s="10"/>
      <c r="AM180" s="10"/>
      <c r="AN180" s="10">
        <v>0</v>
      </c>
      <c r="AO180" s="10"/>
      <c r="AP180" s="10">
        <v>0</v>
      </c>
      <c r="AQ180" s="10"/>
      <c r="AR180" s="10">
        <v>0</v>
      </c>
      <c r="AS180" s="10"/>
      <c r="AT180" s="10">
        <v>0</v>
      </c>
      <c r="AU180" s="10"/>
      <c r="AV180" s="10">
        <v>0</v>
      </c>
      <c r="AW180" s="10"/>
      <c r="AX180" s="10">
        <v>0</v>
      </c>
      <c r="AY180" s="10"/>
      <c r="AZ180" s="10">
        <v>0</v>
      </c>
      <c r="BA180" s="10"/>
      <c r="BB180" s="10">
        <v>0</v>
      </c>
      <c r="BC180" s="10"/>
      <c r="BD180" s="10">
        <v>0</v>
      </c>
      <c r="BE180" s="10"/>
      <c r="BF180" s="10">
        <v>0</v>
      </c>
      <c r="BG180" s="10"/>
      <c r="BH180" s="10">
        <v>0</v>
      </c>
      <c r="BI180" s="10"/>
      <c r="BJ180" s="10">
        <v>0</v>
      </c>
      <c r="BK180" s="10"/>
      <c r="BL180" s="10">
        <v>0</v>
      </c>
      <c r="BM180" s="10"/>
      <c r="BN180" s="10">
        <f>SUM(T180:BM180)</f>
        <v>0</v>
      </c>
      <c r="BO180" s="10"/>
      <c r="BP180" s="10">
        <v>0</v>
      </c>
      <c r="BQ180" s="10"/>
      <c r="BR180" s="6">
        <f>IF(+R180-BN180+BP180&gt;0,R180-BN180+BP180,0)</f>
        <v>0</v>
      </c>
      <c r="BS180" s="10"/>
      <c r="BT180" s="9">
        <f>+BN180+BR180</f>
        <v>0</v>
      </c>
      <c r="BU180" s="10"/>
      <c r="BV180" s="9">
        <f>+R180-BT180</f>
        <v>0</v>
      </c>
      <c r="BW180" s="10"/>
    </row>
    <row r="181" spans="1:124" s="15" customFormat="1">
      <c r="A181" s="14"/>
      <c r="B181" s="60"/>
      <c r="C181"/>
      <c r="D181"/>
      <c r="E181"/>
      <c r="F181"/>
      <c r="G181"/>
      <c r="H181"/>
      <c r="I181"/>
      <c r="J181" s="49"/>
      <c r="K181"/>
      <c r="L181" s="13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  <c r="AA181" s="22"/>
      <c r="AB181" s="22"/>
      <c r="AC181" s="22"/>
      <c r="AD181" s="22"/>
      <c r="AE181" s="22"/>
      <c r="AF181" s="22"/>
      <c r="AG181" s="22"/>
      <c r="AH181" s="22"/>
      <c r="AI181" s="22"/>
      <c r="AJ181" s="22"/>
      <c r="AK181" s="22"/>
      <c r="AL181" s="22"/>
      <c r="AM181" s="22"/>
      <c r="AN181" s="22"/>
      <c r="AO181" s="22"/>
      <c r="AP181" s="22"/>
      <c r="AQ181" s="22"/>
      <c r="AR181" s="22"/>
      <c r="AS181" s="22"/>
      <c r="AT181" s="22"/>
      <c r="AU181" s="22"/>
      <c r="AV181" s="22"/>
      <c r="AW181" s="22"/>
      <c r="AX181" s="22"/>
      <c r="AY181" s="22"/>
      <c r="AZ181" s="22"/>
      <c r="BA181" s="22"/>
      <c r="BB181" s="22"/>
      <c r="BC181" s="22"/>
      <c r="BD181" s="22"/>
      <c r="BE181" s="22"/>
      <c r="BF181" s="22"/>
      <c r="BG181" s="22"/>
      <c r="BH181" s="22"/>
      <c r="BI181" s="22"/>
      <c r="BJ181" s="22"/>
      <c r="BK181" s="22"/>
      <c r="BL181" s="22"/>
      <c r="BM181" s="22"/>
      <c r="BN181" s="22"/>
      <c r="BO181" s="22"/>
      <c r="BP181" s="22"/>
      <c r="BQ181" s="22"/>
      <c r="BR181" s="22"/>
      <c r="BS181" s="22"/>
      <c r="BT181" s="22"/>
      <c r="BU181" s="22"/>
      <c r="BV181" s="22"/>
      <c r="BW181" s="22"/>
    </row>
    <row r="182" spans="1:124" s="31" customFormat="1">
      <c r="A182" s="58" t="s">
        <v>32</v>
      </c>
      <c r="J182" s="156"/>
      <c r="L182" s="143" t="s">
        <v>202</v>
      </c>
      <c r="M182" s="10"/>
      <c r="N182" s="10">
        <v>0</v>
      </c>
      <c r="O182" s="10"/>
      <c r="P182" s="10">
        <v>0</v>
      </c>
      <c r="Q182" s="10"/>
      <c r="R182" s="9">
        <v>0</v>
      </c>
      <c r="S182" s="10"/>
      <c r="T182" s="10">
        <v>0</v>
      </c>
      <c r="U182" s="10"/>
      <c r="V182" s="10">
        <v>0</v>
      </c>
      <c r="W182" s="10"/>
      <c r="X182" s="10"/>
      <c r="Y182" s="10"/>
      <c r="Z182" s="10">
        <v>0</v>
      </c>
      <c r="AA182" s="10"/>
      <c r="AB182" s="10">
        <v>4234.96</v>
      </c>
      <c r="AC182" s="10"/>
      <c r="AD182" s="10">
        <f>5808.82+4463.57+8741.21+1074.93+910.57</f>
        <v>20999.1</v>
      </c>
      <c r="AE182" s="10"/>
      <c r="AF182" s="10">
        <v>10759.47</v>
      </c>
      <c r="AG182" s="10"/>
      <c r="AH182" s="10">
        <v>6023.47</v>
      </c>
      <c r="AI182" s="10"/>
      <c r="AJ182" s="10">
        <v>6145.77</v>
      </c>
      <c r="AK182" s="10"/>
      <c r="AL182" s="10">
        <v>-48163</v>
      </c>
      <c r="AM182" s="10"/>
      <c r="AN182" s="10">
        <v>0</v>
      </c>
      <c r="AO182" s="10"/>
      <c r="AP182" s="10">
        <v>0</v>
      </c>
      <c r="AQ182" s="10"/>
      <c r="AR182" s="10">
        <v>0</v>
      </c>
      <c r="AS182" s="10"/>
      <c r="AT182" s="10">
        <v>0</v>
      </c>
      <c r="AU182" s="10"/>
      <c r="AV182" s="10">
        <v>0</v>
      </c>
      <c r="AW182" s="10"/>
      <c r="AX182" s="10">
        <v>0</v>
      </c>
      <c r="AY182" s="10"/>
      <c r="AZ182" s="10">
        <v>0</v>
      </c>
      <c r="BA182" s="10"/>
      <c r="BB182" s="10">
        <v>0</v>
      </c>
      <c r="BC182" s="10"/>
      <c r="BD182" s="10">
        <v>0</v>
      </c>
      <c r="BE182" s="10"/>
      <c r="BF182" s="10">
        <v>0</v>
      </c>
      <c r="BG182" s="10"/>
      <c r="BH182" s="10">
        <v>0</v>
      </c>
      <c r="BI182" s="10"/>
      <c r="BJ182" s="10">
        <v>0</v>
      </c>
      <c r="BK182" s="10"/>
      <c r="BL182" s="10">
        <v>0</v>
      </c>
      <c r="BM182" s="10"/>
      <c r="BN182" s="10">
        <f>SUM(T182:BM182)</f>
        <v>-0.22999999999592546</v>
      </c>
      <c r="BO182" s="10"/>
      <c r="BP182" s="10">
        <v>0</v>
      </c>
      <c r="BQ182" s="10"/>
      <c r="BR182" s="6">
        <f>IF(+R182-BN182+BP182&gt;0,R182-BN182+BP182,0)</f>
        <v>0.22999999999592546</v>
      </c>
      <c r="BS182" s="10"/>
      <c r="BT182" s="9">
        <f>+BN182+BR182</f>
        <v>0</v>
      </c>
      <c r="BU182" s="10"/>
      <c r="BV182" s="9">
        <f>+R182-BT182</f>
        <v>0</v>
      </c>
      <c r="BW182" s="10"/>
    </row>
    <row r="183" spans="1:124" s="15" customFormat="1">
      <c r="A183" s="14"/>
      <c r="B183" s="60"/>
      <c r="C183"/>
      <c r="D183"/>
      <c r="E183"/>
      <c r="F183"/>
      <c r="G183"/>
      <c r="H183"/>
      <c r="I183"/>
      <c r="J183" s="49"/>
      <c r="K183"/>
      <c r="L183" s="13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  <c r="AA183" s="22"/>
      <c r="AB183" s="22"/>
      <c r="AC183" s="22"/>
      <c r="AD183" s="22"/>
      <c r="AE183" s="22"/>
      <c r="AF183" s="22"/>
      <c r="AG183" s="22"/>
      <c r="AH183" s="22"/>
      <c r="AI183" s="22"/>
      <c r="AJ183" s="22"/>
      <c r="AK183" s="22"/>
      <c r="AL183" s="22"/>
      <c r="AM183" s="22"/>
      <c r="AN183" s="22"/>
      <c r="AO183" s="22"/>
      <c r="AP183" s="22"/>
      <c r="AQ183" s="22"/>
      <c r="AR183" s="22"/>
      <c r="AS183" s="22"/>
      <c r="AT183" s="22"/>
      <c r="AU183" s="22"/>
      <c r="AV183" s="22"/>
      <c r="AW183" s="22"/>
      <c r="AX183" s="22"/>
      <c r="AY183" s="22"/>
      <c r="AZ183" s="22"/>
      <c r="BA183" s="22"/>
      <c r="BB183" s="22"/>
      <c r="BC183" s="22"/>
      <c r="BD183" s="22"/>
      <c r="BE183" s="22"/>
      <c r="BF183" s="22"/>
      <c r="BG183" s="22"/>
      <c r="BH183" s="22"/>
      <c r="BI183" s="22"/>
      <c r="BJ183" s="22"/>
      <c r="BK183" s="22"/>
      <c r="BL183" s="22"/>
      <c r="BM183" s="22"/>
      <c r="BN183" s="22"/>
      <c r="BO183" s="22"/>
      <c r="BP183" s="22"/>
      <c r="BQ183" s="22"/>
      <c r="BR183" s="22"/>
      <c r="BS183" s="22"/>
      <c r="BT183" s="22"/>
      <c r="BU183" s="22"/>
      <c r="BV183" s="22"/>
      <c r="BW183" s="22"/>
    </row>
    <row r="184" spans="1:124">
      <c r="A184" s="56" t="s">
        <v>33</v>
      </c>
      <c r="B184" s="11"/>
      <c r="C184"/>
      <c r="D184"/>
      <c r="E184"/>
      <c r="F184"/>
      <c r="G184"/>
      <c r="H184"/>
      <c r="I184"/>
      <c r="J184" s="49"/>
      <c r="K184"/>
      <c r="L184" s="132"/>
      <c r="M184" s="6"/>
      <c r="O184" s="6"/>
      <c r="Q184" s="6"/>
      <c r="S184" s="6"/>
      <c r="T184" s="6"/>
      <c r="U184" s="6"/>
      <c r="V184" s="6"/>
      <c r="X184" s="6"/>
      <c r="Z184" s="6"/>
      <c r="AB184" s="6"/>
      <c r="AD184" s="6"/>
      <c r="BL184" s="6"/>
      <c r="BM184" s="6"/>
      <c r="BO184" s="6"/>
      <c r="BP184" s="6"/>
      <c r="BQ184" s="6"/>
      <c r="BW184" s="6"/>
    </row>
    <row r="185" spans="1:124" s="11" customFormat="1">
      <c r="A185" s="17"/>
      <c r="B185" s="11" t="s">
        <v>184</v>
      </c>
      <c r="J185" s="157"/>
      <c r="L185" s="144" t="s">
        <v>203</v>
      </c>
      <c r="M185" s="12"/>
      <c r="N185" s="12">
        <v>200000</v>
      </c>
      <c r="O185" s="12"/>
      <c r="P185" s="12">
        <v>0</v>
      </c>
      <c r="Q185" s="12"/>
      <c r="R185" s="6">
        <v>0</v>
      </c>
      <c r="S185" s="12"/>
      <c r="T185" s="12">
        <v>0</v>
      </c>
      <c r="U185" s="12"/>
      <c r="V185" s="12">
        <v>0</v>
      </c>
      <c r="W185" s="12"/>
      <c r="X185" s="12">
        <v>21983.72</v>
      </c>
      <c r="Y185" s="12"/>
      <c r="Z185" s="12">
        <v>0</v>
      </c>
      <c r="AA185" s="12"/>
      <c r="AB185" s="12">
        <v>0</v>
      </c>
      <c r="AC185" s="12"/>
      <c r="AD185" s="12">
        <v>0</v>
      </c>
      <c r="AE185" s="12"/>
      <c r="AF185" s="12"/>
      <c r="AG185" s="12"/>
      <c r="AH185" s="12">
        <v>0</v>
      </c>
      <c r="AI185" s="12"/>
      <c r="AJ185" s="12">
        <v>0</v>
      </c>
      <c r="AK185" s="12"/>
      <c r="AL185" s="12">
        <v>14449</v>
      </c>
      <c r="AM185" s="12"/>
      <c r="AN185" s="12">
        <v>0</v>
      </c>
      <c r="AO185" s="12"/>
      <c r="AP185" s="12">
        <v>0</v>
      </c>
      <c r="AQ185" s="12"/>
      <c r="AR185" s="12">
        <v>0</v>
      </c>
      <c r="AS185" s="12"/>
      <c r="AT185" s="12">
        <v>0</v>
      </c>
      <c r="AU185" s="12"/>
      <c r="AV185" s="12">
        <v>0</v>
      </c>
      <c r="AW185" s="12"/>
      <c r="AX185" s="12">
        <v>0</v>
      </c>
      <c r="AY185" s="12"/>
      <c r="AZ185" s="12">
        <v>0</v>
      </c>
      <c r="BA185" s="12"/>
      <c r="BB185" s="12">
        <v>0</v>
      </c>
      <c r="BC185" s="12"/>
      <c r="BD185" s="12">
        <v>0</v>
      </c>
      <c r="BE185" s="12"/>
      <c r="BF185" s="12">
        <v>0</v>
      </c>
      <c r="BG185" s="12"/>
      <c r="BH185" s="12">
        <v>0</v>
      </c>
      <c r="BI185" s="12"/>
      <c r="BJ185" s="12">
        <v>0</v>
      </c>
      <c r="BK185" s="12"/>
      <c r="BL185" s="12">
        <v>0</v>
      </c>
      <c r="BM185" s="12"/>
      <c r="BN185" s="12">
        <f>SUM(T185:BM185)</f>
        <v>36432.720000000001</v>
      </c>
      <c r="BO185" s="12"/>
      <c r="BP185" s="12">
        <v>0</v>
      </c>
      <c r="BQ185" s="12"/>
      <c r="BR185" s="6">
        <f>IF(+R185-BN185+BP185&gt;0,R185-BN185+BP185,0)</f>
        <v>0</v>
      </c>
      <c r="BS185" s="12"/>
      <c r="BT185" s="6">
        <f>+BN185+BR185</f>
        <v>36432.720000000001</v>
      </c>
      <c r="BU185" s="12"/>
      <c r="BV185" s="6">
        <f>+R185-BT185</f>
        <v>-36432.720000000001</v>
      </c>
      <c r="BW185" s="12"/>
    </row>
    <row r="186" spans="1:124" s="11" customFormat="1">
      <c r="A186" s="17"/>
      <c r="B186" s="11" t="s">
        <v>34</v>
      </c>
      <c r="J186" s="157"/>
      <c r="L186" s="144" t="s">
        <v>203</v>
      </c>
      <c r="M186" s="12"/>
      <c r="N186" s="12">
        <v>0</v>
      </c>
      <c r="O186" s="12"/>
      <c r="P186" s="12">
        <v>50000</v>
      </c>
      <c r="Q186" s="12"/>
      <c r="R186" s="6">
        <v>0</v>
      </c>
      <c r="S186" s="12"/>
      <c r="T186" s="12">
        <v>0</v>
      </c>
      <c r="U186" s="12"/>
      <c r="V186" s="12">
        <v>135</v>
      </c>
      <c r="W186" s="12"/>
      <c r="X186" s="12">
        <v>2870.91</v>
      </c>
      <c r="Y186" s="12"/>
      <c r="Z186" s="12">
        <f>5474.86+28.91+701.87+1037.61+26+59</f>
        <v>7328.2499999999991</v>
      </c>
      <c r="AA186" s="12"/>
      <c r="AB186" s="12">
        <f>1153.98+1626.89</f>
        <v>2780.87</v>
      </c>
      <c r="AC186" s="12"/>
      <c r="AD186" s="12">
        <f>1321.7+4943.09+4483.05+927.58+431.74+260.99+2710.2</f>
        <v>15078.349999999999</v>
      </c>
      <c r="AE186" s="12"/>
      <c r="AF186" s="12">
        <f>1416.27+8201.74+60.53+956.07+795</f>
        <v>11429.61</v>
      </c>
      <c r="AG186" s="12"/>
      <c r="AH186" s="12">
        <v>15496.73</v>
      </c>
      <c r="AI186" s="12"/>
      <c r="AJ186" s="12">
        <v>12735.73</v>
      </c>
      <c r="AK186" s="12"/>
      <c r="AL186" s="12">
        <v>0</v>
      </c>
      <c r="AM186" s="12"/>
      <c r="AN186" s="12">
        <v>0</v>
      </c>
      <c r="AO186" s="12"/>
      <c r="AP186" s="12">
        <v>0</v>
      </c>
      <c r="AQ186" s="12"/>
      <c r="AR186" s="12">
        <v>0</v>
      </c>
      <c r="AS186" s="12"/>
      <c r="AT186" s="12">
        <v>0</v>
      </c>
      <c r="AU186" s="12"/>
      <c r="AV186" s="12">
        <v>0</v>
      </c>
      <c r="AW186" s="12"/>
      <c r="AX186" s="12">
        <v>0</v>
      </c>
      <c r="AY186" s="12"/>
      <c r="AZ186" s="12">
        <v>0</v>
      </c>
      <c r="BA186" s="12"/>
      <c r="BB186" s="12">
        <v>0</v>
      </c>
      <c r="BC186" s="12"/>
      <c r="BD186" s="12">
        <v>0</v>
      </c>
      <c r="BE186" s="12"/>
      <c r="BF186" s="12">
        <v>0</v>
      </c>
      <c r="BG186" s="12"/>
      <c r="BH186" s="12">
        <v>0</v>
      </c>
      <c r="BI186" s="12"/>
      <c r="BJ186" s="12">
        <v>0</v>
      </c>
      <c r="BK186" s="12"/>
      <c r="BL186" s="12">
        <v>0</v>
      </c>
      <c r="BM186" s="12"/>
      <c r="BN186" s="12">
        <f>SUM(T186:BM186)</f>
        <v>67855.45</v>
      </c>
      <c r="BO186" s="12"/>
      <c r="BP186" s="12">
        <v>0</v>
      </c>
      <c r="BQ186" s="12"/>
      <c r="BR186" s="6">
        <f>IF(+R186-BN186+BP186&gt;0,R186-BN186+BP186,0)</f>
        <v>0</v>
      </c>
      <c r="BS186" s="12"/>
      <c r="BT186" s="6">
        <f>+BN186+BR186</f>
        <v>67855.45</v>
      </c>
      <c r="BU186" s="12"/>
      <c r="BV186" s="6">
        <f>+R186-BT186</f>
        <v>-67855.45</v>
      </c>
      <c r="BW186" s="12"/>
    </row>
    <row r="187" spans="1:124" s="11" customFormat="1">
      <c r="A187" s="17"/>
      <c r="B187" s="11" t="s">
        <v>217</v>
      </c>
      <c r="J187" s="157"/>
      <c r="L187" s="144" t="s">
        <v>203</v>
      </c>
      <c r="M187" s="12"/>
      <c r="N187" s="12">
        <v>0</v>
      </c>
      <c r="O187" s="12"/>
      <c r="P187" s="12">
        <v>24235</v>
      </c>
      <c r="Q187" s="12"/>
      <c r="R187" s="6">
        <v>0</v>
      </c>
      <c r="S187" s="12"/>
      <c r="T187" s="12">
        <v>0</v>
      </c>
      <c r="U187" s="12"/>
      <c r="V187" s="12">
        <v>0</v>
      </c>
      <c r="W187" s="12"/>
      <c r="X187" s="12">
        <v>24235</v>
      </c>
      <c r="Y187" s="12"/>
      <c r="Z187" s="12">
        <v>0</v>
      </c>
      <c r="AA187" s="12"/>
      <c r="AB187" s="12">
        <v>0</v>
      </c>
      <c r="AC187" s="12"/>
      <c r="AD187" s="12">
        <v>0</v>
      </c>
      <c r="AE187" s="12"/>
      <c r="AF187" s="12">
        <v>0</v>
      </c>
      <c r="AG187" s="12"/>
      <c r="AH187" s="12">
        <v>0</v>
      </c>
      <c r="AI187" s="12"/>
      <c r="AJ187" s="12">
        <v>0</v>
      </c>
      <c r="AK187" s="12"/>
      <c r="AL187" s="12">
        <f>16768.34-177866+173000+36433</f>
        <v>48335.34</v>
      </c>
      <c r="AM187" s="12"/>
      <c r="AN187" s="12">
        <v>0</v>
      </c>
      <c r="AO187" s="12"/>
      <c r="AP187" s="12">
        <v>0</v>
      </c>
      <c r="AQ187" s="12"/>
      <c r="AR187" s="12">
        <v>0</v>
      </c>
      <c r="AS187" s="12"/>
      <c r="AT187" s="12">
        <v>0</v>
      </c>
      <c r="AU187" s="12"/>
      <c r="AV187" s="12">
        <v>0</v>
      </c>
      <c r="AW187" s="12"/>
      <c r="AX187" s="12">
        <v>0</v>
      </c>
      <c r="AY187" s="12"/>
      <c r="AZ187" s="12">
        <v>0</v>
      </c>
      <c r="BA187" s="12"/>
      <c r="BB187" s="12">
        <v>0</v>
      </c>
      <c r="BC187" s="12"/>
      <c r="BD187" s="12">
        <v>0</v>
      </c>
      <c r="BE187" s="12"/>
      <c r="BF187" s="12">
        <v>0</v>
      </c>
      <c r="BG187" s="12"/>
      <c r="BH187" s="12">
        <v>0</v>
      </c>
      <c r="BI187" s="12"/>
      <c r="BJ187" s="12">
        <v>0</v>
      </c>
      <c r="BK187" s="12"/>
      <c r="BL187" s="12">
        <v>0</v>
      </c>
      <c r="BM187" s="12"/>
      <c r="BN187" s="12">
        <f>SUM(T187:BM187)</f>
        <v>72570.34</v>
      </c>
      <c r="BO187" s="12"/>
      <c r="BP187" s="12">
        <v>0</v>
      </c>
      <c r="BQ187" s="12"/>
      <c r="BR187" s="6">
        <f>IF(+R187-BN187+BP187&gt;0,R187-BN187+BP187,0)</f>
        <v>0</v>
      </c>
      <c r="BS187" s="12"/>
      <c r="BT187" s="6">
        <f>+BN187+BR187</f>
        <v>72570.34</v>
      </c>
      <c r="BU187" s="12"/>
      <c r="BV187" s="6">
        <f>+R187-BT187</f>
        <v>-72570.34</v>
      </c>
      <c r="BW187" s="12"/>
    </row>
    <row r="188" spans="1:124" s="11" customFormat="1">
      <c r="A188" s="17"/>
      <c r="B188" s="11" t="s">
        <v>121</v>
      </c>
      <c r="J188" s="157"/>
      <c r="L188" s="144" t="s">
        <v>203</v>
      </c>
      <c r="M188" s="12"/>
      <c r="N188" s="12">
        <v>400000</v>
      </c>
      <c r="O188" s="12"/>
      <c r="P188" s="12">
        <f>49065-N188-6000</f>
        <v>-356935</v>
      </c>
      <c r="Q188" s="12"/>
      <c r="R188" s="6">
        <v>0</v>
      </c>
      <c r="S188" s="12"/>
      <c r="T188" s="12">
        <v>0</v>
      </c>
      <c r="U188" s="12"/>
      <c r="V188" s="12">
        <v>0</v>
      </c>
      <c r="W188" s="12"/>
      <c r="X188" s="12">
        <v>0</v>
      </c>
      <c r="Y188" s="12"/>
      <c r="Z188" s="12">
        <v>0</v>
      </c>
      <c r="AA188" s="12"/>
      <c r="AB188" s="12">
        <v>0</v>
      </c>
      <c r="AC188" s="12"/>
      <c r="AD188" s="12">
        <v>2287.5</v>
      </c>
      <c r="AE188" s="12"/>
      <c r="AF188" s="12">
        <v>0</v>
      </c>
      <c r="AG188" s="12"/>
      <c r="AH188" s="12">
        <v>0</v>
      </c>
      <c r="AI188" s="12"/>
      <c r="AJ188" s="12">
        <v>0</v>
      </c>
      <c r="AK188" s="12"/>
      <c r="AL188" s="12">
        <v>0</v>
      </c>
      <c r="AM188" s="12"/>
      <c r="AN188" s="12">
        <v>0</v>
      </c>
      <c r="AO188" s="12"/>
      <c r="AP188" s="12">
        <v>0</v>
      </c>
      <c r="AQ188" s="12"/>
      <c r="AR188" s="12">
        <f>9600+716.66+380.63</f>
        <v>10697.289999999999</v>
      </c>
      <c r="AS188" s="12"/>
      <c r="AT188" s="12">
        <v>0</v>
      </c>
      <c r="AU188" s="12"/>
      <c r="AV188" s="12">
        <v>0</v>
      </c>
      <c r="AW188" s="12"/>
      <c r="AX188" s="12">
        <v>0</v>
      </c>
      <c r="AY188" s="12"/>
      <c r="AZ188" s="12">
        <v>0</v>
      </c>
      <c r="BA188" s="12"/>
      <c r="BB188" s="12">
        <v>0</v>
      </c>
      <c r="BC188" s="12"/>
      <c r="BD188" s="12">
        <v>0</v>
      </c>
      <c r="BE188" s="12"/>
      <c r="BF188" s="12">
        <v>0</v>
      </c>
      <c r="BG188" s="12"/>
      <c r="BH188" s="12">
        <v>0</v>
      </c>
      <c r="BI188" s="12"/>
      <c r="BJ188" s="12">
        <v>0</v>
      </c>
      <c r="BK188" s="12"/>
      <c r="BL188" s="12">
        <v>0</v>
      </c>
      <c r="BM188" s="12"/>
      <c r="BN188" s="12">
        <f>SUM(T188:BM188)</f>
        <v>12984.789999999999</v>
      </c>
      <c r="BO188" s="12"/>
      <c r="BP188" s="12">
        <v>0</v>
      </c>
      <c r="BQ188" s="12"/>
      <c r="BR188" s="6">
        <f>IF(+R188-BN188+BP188&gt;0,R188-BN188+BP188,0)</f>
        <v>0</v>
      </c>
      <c r="BS188" s="12"/>
      <c r="BT188" s="6">
        <f>+BN188+BR188</f>
        <v>12984.789999999999</v>
      </c>
      <c r="BU188" s="12"/>
      <c r="BV188" s="6">
        <f>+R188-BT188</f>
        <v>-12984.789999999999</v>
      </c>
      <c r="BW188" s="12"/>
    </row>
    <row r="189" spans="1:124" s="11" customFormat="1">
      <c r="A189" s="17"/>
      <c r="B189" s="11" t="s">
        <v>278</v>
      </c>
      <c r="J189" s="157"/>
      <c r="L189" s="144"/>
      <c r="M189" s="12"/>
      <c r="N189" s="12"/>
      <c r="O189" s="12"/>
      <c r="P189" s="12"/>
      <c r="Q189" s="12"/>
      <c r="R189" s="6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>
        <v>83611.75</v>
      </c>
      <c r="AG189" s="12"/>
      <c r="AH189" s="12">
        <f>1916.59+566.92+17351.64+16608.79+10439.68+3047.18</f>
        <v>49930.8</v>
      </c>
      <c r="AI189" s="12"/>
      <c r="AJ189" s="12">
        <v>30286.69</v>
      </c>
      <c r="AK189" s="12"/>
      <c r="AL189" s="12">
        <f>-163829+30287</f>
        <v>-133542</v>
      </c>
      <c r="AM189" s="12"/>
      <c r="AN189" s="12"/>
      <c r="AO189" s="12"/>
      <c r="AP189" s="12"/>
      <c r="AQ189" s="12"/>
      <c r="AR189" s="12"/>
      <c r="AS189" s="12"/>
      <c r="AT189" s="12"/>
      <c r="AU189" s="12"/>
      <c r="AV189" s="12"/>
      <c r="AW189" s="12"/>
      <c r="AX189" s="12"/>
      <c r="AY189" s="12"/>
      <c r="AZ189" s="12"/>
      <c r="BA189" s="12"/>
      <c r="BB189" s="12"/>
      <c r="BC189" s="12"/>
      <c r="BD189" s="12"/>
      <c r="BE189" s="12"/>
      <c r="BF189" s="12"/>
      <c r="BG189" s="12"/>
      <c r="BH189" s="12"/>
      <c r="BI189" s="12"/>
      <c r="BJ189" s="12"/>
      <c r="BK189" s="12"/>
      <c r="BL189" s="12"/>
      <c r="BM189" s="12"/>
      <c r="BN189" s="12">
        <f>SUM(T189:BM189)</f>
        <v>30287.239999999991</v>
      </c>
      <c r="BO189" s="12"/>
      <c r="BP189" s="12"/>
      <c r="BQ189" s="12"/>
      <c r="BR189" s="6">
        <f>IF(+R189-BN189+BP189&gt;0,R189-BN189+BP189,0)</f>
        <v>0</v>
      </c>
      <c r="BS189" s="12"/>
      <c r="BT189" s="6">
        <f>+BN189+BR189</f>
        <v>30287.239999999991</v>
      </c>
      <c r="BU189" s="12"/>
      <c r="BV189" s="6">
        <f>+R189-BT189</f>
        <v>-30287.239999999991</v>
      </c>
      <c r="BW189" s="12"/>
    </row>
    <row r="190" spans="1:124" s="21" customFormat="1">
      <c r="A190" s="56"/>
      <c r="B190" s="31" t="s">
        <v>40</v>
      </c>
      <c r="J190" s="8"/>
      <c r="L190" s="141"/>
      <c r="M190" s="9"/>
      <c r="N190" s="102">
        <f>SUM(N185:N188)</f>
        <v>600000</v>
      </c>
      <c r="O190" s="9"/>
      <c r="P190" s="102">
        <f>SUM(P185:P188)</f>
        <v>-282700</v>
      </c>
      <c r="Q190" s="9"/>
      <c r="R190" s="102">
        <f>SUM(R185:R189)</f>
        <v>0</v>
      </c>
      <c r="S190" s="102">
        <f t="shared" ref="S190:BW190" si="34">SUM(S185:S189)</f>
        <v>0</v>
      </c>
      <c r="T190" s="102">
        <f t="shared" si="34"/>
        <v>0</v>
      </c>
      <c r="U190" s="102">
        <f t="shared" si="34"/>
        <v>0</v>
      </c>
      <c r="V190" s="102">
        <f t="shared" si="34"/>
        <v>135</v>
      </c>
      <c r="W190" s="102">
        <f t="shared" si="34"/>
        <v>0</v>
      </c>
      <c r="X190" s="102">
        <f t="shared" si="34"/>
        <v>49089.630000000005</v>
      </c>
      <c r="Y190" s="102">
        <f t="shared" si="34"/>
        <v>0</v>
      </c>
      <c r="Z190" s="102">
        <f t="shared" si="34"/>
        <v>7328.2499999999991</v>
      </c>
      <c r="AA190" s="102">
        <f t="shared" si="34"/>
        <v>0</v>
      </c>
      <c r="AB190" s="102">
        <f t="shared" si="34"/>
        <v>2780.87</v>
      </c>
      <c r="AC190" s="102">
        <f t="shared" si="34"/>
        <v>0</v>
      </c>
      <c r="AD190" s="102">
        <f t="shared" si="34"/>
        <v>17365.849999999999</v>
      </c>
      <c r="AE190" s="102">
        <f t="shared" si="34"/>
        <v>0</v>
      </c>
      <c r="AF190" s="102">
        <f t="shared" si="34"/>
        <v>95041.36</v>
      </c>
      <c r="AG190" s="102"/>
      <c r="AH190" s="102">
        <f t="shared" si="34"/>
        <v>65427.53</v>
      </c>
      <c r="AI190" s="102"/>
      <c r="AJ190" s="102">
        <f t="shared" si="34"/>
        <v>43022.42</v>
      </c>
      <c r="AK190" s="102"/>
      <c r="AL190" s="102">
        <f>SUM(AL185:AL189)</f>
        <v>-70757.66</v>
      </c>
      <c r="AM190" s="102"/>
      <c r="AN190" s="102">
        <f t="shared" si="34"/>
        <v>0</v>
      </c>
      <c r="AO190" s="102"/>
      <c r="AP190" s="102">
        <f t="shared" si="34"/>
        <v>0</v>
      </c>
      <c r="AQ190" s="102"/>
      <c r="AR190" s="102">
        <f t="shared" si="34"/>
        <v>10697.289999999999</v>
      </c>
      <c r="AS190" s="102"/>
      <c r="AT190" s="102">
        <f t="shared" si="34"/>
        <v>0</v>
      </c>
      <c r="AU190" s="102">
        <f t="shared" si="34"/>
        <v>0</v>
      </c>
      <c r="AV190" s="102">
        <f t="shared" si="34"/>
        <v>0</v>
      </c>
      <c r="AW190" s="102">
        <f t="shared" si="34"/>
        <v>0</v>
      </c>
      <c r="AX190" s="102">
        <f t="shared" si="34"/>
        <v>0</v>
      </c>
      <c r="AY190" s="102">
        <f t="shared" si="34"/>
        <v>0</v>
      </c>
      <c r="AZ190" s="102">
        <f t="shared" si="34"/>
        <v>0</v>
      </c>
      <c r="BA190" s="102">
        <f t="shared" si="34"/>
        <v>0</v>
      </c>
      <c r="BB190" s="102">
        <f t="shared" si="34"/>
        <v>0</v>
      </c>
      <c r="BC190" s="102">
        <f t="shared" si="34"/>
        <v>0</v>
      </c>
      <c r="BD190" s="102">
        <f t="shared" si="34"/>
        <v>0</v>
      </c>
      <c r="BE190" s="102">
        <f t="shared" si="34"/>
        <v>0</v>
      </c>
      <c r="BF190" s="102">
        <f t="shared" si="34"/>
        <v>0</v>
      </c>
      <c r="BG190" s="102">
        <f t="shared" si="34"/>
        <v>0</v>
      </c>
      <c r="BH190" s="102">
        <f t="shared" si="34"/>
        <v>0</v>
      </c>
      <c r="BI190" s="102">
        <f t="shared" si="34"/>
        <v>0</v>
      </c>
      <c r="BJ190" s="102">
        <f t="shared" si="34"/>
        <v>0</v>
      </c>
      <c r="BK190" s="102">
        <f t="shared" si="34"/>
        <v>0</v>
      </c>
      <c r="BL190" s="102">
        <f t="shared" si="34"/>
        <v>0</v>
      </c>
      <c r="BM190" s="102">
        <f t="shared" si="34"/>
        <v>0</v>
      </c>
      <c r="BN190" s="102">
        <f t="shared" si="34"/>
        <v>220130.54</v>
      </c>
      <c r="BO190" s="102">
        <f t="shared" si="34"/>
        <v>0</v>
      </c>
      <c r="BP190" s="102">
        <f t="shared" si="34"/>
        <v>0</v>
      </c>
      <c r="BQ190" s="102">
        <f t="shared" si="34"/>
        <v>0</v>
      </c>
      <c r="BR190" s="102">
        <f t="shared" si="34"/>
        <v>0</v>
      </c>
      <c r="BS190" s="102">
        <f t="shared" si="34"/>
        <v>0</v>
      </c>
      <c r="BT190" s="102">
        <f>SUM(BT185:BT189)</f>
        <v>220130.54</v>
      </c>
      <c r="BU190" s="102">
        <f t="shared" si="34"/>
        <v>0</v>
      </c>
      <c r="BV190" s="102">
        <f t="shared" si="34"/>
        <v>-220130.54</v>
      </c>
      <c r="BW190" s="102">
        <f t="shared" si="34"/>
        <v>0</v>
      </c>
      <c r="BX190"/>
      <c r="BY190"/>
      <c r="BZ190"/>
      <c r="CA190"/>
      <c r="CB190"/>
      <c r="CC190"/>
      <c r="CD190"/>
      <c r="CE190"/>
      <c r="CF190"/>
      <c r="CG190"/>
      <c r="CH190"/>
      <c r="CI190"/>
      <c r="CJ190"/>
      <c r="CK190"/>
      <c r="CL190"/>
      <c r="CM190"/>
      <c r="CN190"/>
      <c r="CO190"/>
      <c r="CP190"/>
      <c r="CQ190"/>
      <c r="CR190"/>
      <c r="CS190"/>
      <c r="CT190"/>
      <c r="CU190"/>
      <c r="CV190"/>
      <c r="CW190"/>
      <c r="CX190"/>
      <c r="CY190"/>
      <c r="CZ190"/>
      <c r="DA190"/>
      <c r="DB190"/>
      <c r="DC190"/>
      <c r="DD190"/>
      <c r="DE190"/>
      <c r="DF190"/>
      <c r="DG190"/>
      <c r="DH190"/>
      <c r="DI190"/>
      <c r="DJ190"/>
      <c r="DK190"/>
      <c r="DL190"/>
      <c r="DM190"/>
      <c r="DN190"/>
      <c r="DO190"/>
      <c r="DP190"/>
      <c r="DQ190"/>
      <c r="DR190"/>
      <c r="DS190"/>
      <c r="DT190"/>
    </row>
    <row r="191" spans="1:124" s="21" customFormat="1">
      <c r="A191" s="56"/>
      <c r="B191" s="31"/>
      <c r="J191" s="8"/>
      <c r="L191" s="141"/>
      <c r="M191" s="9"/>
      <c r="N191" s="10"/>
      <c r="O191" s="9"/>
      <c r="P191" s="10"/>
      <c r="Q191" s="9"/>
      <c r="R191" s="10"/>
      <c r="S191" s="9"/>
      <c r="T191" s="10"/>
      <c r="U191" s="9"/>
      <c r="V191" s="10"/>
      <c r="W191" s="9"/>
      <c r="X191" s="10"/>
      <c r="Y191" s="9"/>
      <c r="Z191" s="10"/>
      <c r="AA191" s="9"/>
      <c r="AB191" s="10"/>
      <c r="AC191" s="9"/>
      <c r="AD191" s="10"/>
      <c r="AE191" s="9"/>
      <c r="AF191" s="10"/>
      <c r="AG191" s="9"/>
      <c r="AH191" s="10"/>
      <c r="AI191" s="9"/>
      <c r="AJ191" s="10"/>
      <c r="AK191" s="9"/>
      <c r="AL191" s="10"/>
      <c r="AM191" s="9"/>
      <c r="AN191" s="10"/>
      <c r="AO191" s="9"/>
      <c r="AP191" s="10"/>
      <c r="AQ191" s="9"/>
      <c r="AR191" s="10"/>
      <c r="AS191" s="9"/>
      <c r="AT191" s="10"/>
      <c r="AU191" s="9"/>
      <c r="AV191" s="10"/>
      <c r="AW191" s="10"/>
      <c r="AX191" s="10"/>
      <c r="AY191" s="10"/>
      <c r="AZ191" s="10"/>
      <c r="BA191" s="10"/>
      <c r="BB191" s="10"/>
      <c r="BC191" s="10"/>
      <c r="BD191" s="10"/>
      <c r="BE191" s="10"/>
      <c r="BF191" s="10"/>
      <c r="BG191" s="10"/>
      <c r="BH191" s="10"/>
      <c r="BI191" s="10"/>
      <c r="BJ191" s="10"/>
      <c r="BK191" s="10"/>
      <c r="BL191" s="10"/>
      <c r="BM191" s="9"/>
      <c r="BN191" s="10"/>
      <c r="BO191" s="9"/>
      <c r="BP191" s="10"/>
      <c r="BQ191" s="9"/>
      <c r="BR191" s="10"/>
      <c r="BS191" s="9"/>
      <c r="BT191" s="10"/>
      <c r="BU191" s="9"/>
      <c r="BV191" s="10"/>
      <c r="BW191" s="9"/>
      <c r="BX191"/>
      <c r="BY191"/>
      <c r="BZ191"/>
      <c r="CA191"/>
      <c r="CB191"/>
      <c r="CC191"/>
      <c r="CD191"/>
      <c r="CE191"/>
      <c r="CF191"/>
      <c r="CG191"/>
      <c r="CH191"/>
      <c r="CI191"/>
      <c r="CJ191"/>
      <c r="CK191"/>
      <c r="CL191"/>
      <c r="CM191"/>
      <c r="CN191"/>
      <c r="CO191"/>
      <c r="CP191"/>
      <c r="CQ191"/>
      <c r="CR191"/>
      <c r="CS191"/>
      <c r="CT191"/>
      <c r="CU191"/>
      <c r="CV191"/>
      <c r="CW191"/>
      <c r="CX191"/>
      <c r="CY191"/>
      <c r="CZ191"/>
      <c r="DA191"/>
      <c r="DB191"/>
      <c r="DC191"/>
      <c r="DD191"/>
      <c r="DE191"/>
      <c r="DF191"/>
      <c r="DG191"/>
      <c r="DH191"/>
      <c r="DI191"/>
      <c r="DJ191"/>
      <c r="DK191"/>
      <c r="DL191"/>
      <c r="DM191"/>
      <c r="DN191"/>
      <c r="DO191"/>
      <c r="DP191"/>
      <c r="DQ191"/>
      <c r="DR191"/>
      <c r="DS191"/>
      <c r="DT191"/>
    </row>
    <row r="192" spans="1:124">
      <c r="A192" s="56" t="s">
        <v>35</v>
      </c>
      <c r="B192" s="11"/>
      <c r="C192"/>
      <c r="D192"/>
      <c r="E192"/>
      <c r="F192"/>
      <c r="G192"/>
      <c r="H192"/>
      <c r="I192"/>
      <c r="J192" s="49"/>
      <c r="K192"/>
      <c r="L192" s="132"/>
      <c r="M192" s="6"/>
      <c r="O192" s="6"/>
      <c r="Q192" s="6"/>
      <c r="S192" s="6"/>
      <c r="T192" s="6"/>
      <c r="U192" s="12"/>
      <c r="V192" s="6"/>
      <c r="W192" s="12"/>
      <c r="X192" s="6"/>
      <c r="Y192" s="12"/>
      <c r="Z192" s="6"/>
      <c r="AA192" s="12"/>
      <c r="AB192" s="6"/>
      <c r="AC192" s="12"/>
      <c r="AD192" s="6"/>
      <c r="AE192" s="12"/>
      <c r="AG192" s="12"/>
      <c r="AI192" s="12"/>
      <c r="AK192" s="12"/>
      <c r="AM192" s="12"/>
      <c r="AO192" s="12"/>
      <c r="AQ192" s="12"/>
      <c r="AS192" s="12"/>
      <c r="AU192" s="12"/>
      <c r="BL192" s="6"/>
      <c r="BM192" s="6"/>
      <c r="BO192" s="6"/>
      <c r="BP192" s="6"/>
      <c r="BQ192" s="6"/>
      <c r="BW192" s="12"/>
      <c r="BX192"/>
      <c r="BY192"/>
      <c r="BZ192"/>
      <c r="CA192"/>
      <c r="CB192"/>
      <c r="CC192"/>
      <c r="CD192"/>
      <c r="CE192"/>
      <c r="CF192"/>
      <c r="CG192"/>
      <c r="CH192"/>
      <c r="CI192"/>
      <c r="CJ192"/>
      <c r="CK192"/>
      <c r="CL192"/>
      <c r="CM192"/>
      <c r="CN192"/>
      <c r="CO192"/>
      <c r="CP192"/>
      <c r="CQ192"/>
      <c r="CR192"/>
      <c r="CS192"/>
      <c r="CT192"/>
      <c r="CU192"/>
      <c r="CV192"/>
      <c r="CW192"/>
      <c r="CX192"/>
      <c r="CY192"/>
      <c r="CZ192"/>
      <c r="DA192"/>
      <c r="DB192"/>
      <c r="DC192"/>
      <c r="DD192"/>
      <c r="DE192"/>
      <c r="DF192"/>
      <c r="DG192"/>
      <c r="DH192"/>
      <c r="DI192"/>
      <c r="DJ192"/>
      <c r="DK192"/>
      <c r="DL192"/>
      <c r="DM192"/>
      <c r="DN192"/>
      <c r="DO192"/>
      <c r="DP192"/>
      <c r="DQ192"/>
      <c r="DR192"/>
      <c r="DS192"/>
      <c r="DT192"/>
    </row>
    <row r="193" spans="1:124" s="11" customFormat="1">
      <c r="A193" s="17"/>
      <c r="B193" s="11" t="s">
        <v>36</v>
      </c>
      <c r="J193" s="157"/>
      <c r="L193" s="144" t="s">
        <v>203</v>
      </c>
      <c r="M193" s="12"/>
      <c r="N193" s="12">
        <v>0</v>
      </c>
      <c r="O193" s="12"/>
      <c r="P193" s="12">
        <f>300000-5511</f>
        <v>294489</v>
      </c>
      <c r="Q193" s="12"/>
      <c r="R193" s="6">
        <v>0</v>
      </c>
      <c r="S193" s="12"/>
      <c r="T193" s="12">
        <v>0</v>
      </c>
      <c r="U193" s="12"/>
      <c r="V193" s="12">
        <v>0</v>
      </c>
      <c r="W193" s="12"/>
      <c r="X193" s="12">
        <v>0</v>
      </c>
      <c r="Y193" s="12"/>
      <c r="Z193" s="12">
        <v>9963.17</v>
      </c>
      <c r="AA193" s="12"/>
      <c r="AB193" s="12">
        <v>0</v>
      </c>
      <c r="AC193" s="12"/>
      <c r="AD193" s="12">
        <v>3785</v>
      </c>
      <c r="AE193" s="12"/>
      <c r="AF193" s="12">
        <v>0</v>
      </c>
      <c r="AG193" s="12"/>
      <c r="AH193" s="12">
        <f>6818.14+6268.5+3560.04+12631+3302.46+787.02</f>
        <v>33367.159999999996</v>
      </c>
      <c r="AI193" s="12"/>
      <c r="AJ193" s="12">
        <v>0</v>
      </c>
      <c r="AK193" s="12"/>
      <c r="AL193" s="12">
        <v>-14302.18</v>
      </c>
      <c r="AM193" s="12"/>
      <c r="AN193" s="12">
        <v>0</v>
      </c>
      <c r="AO193" s="12"/>
      <c r="AP193" s="12">
        <v>28608.51</v>
      </c>
      <c r="AQ193" s="12"/>
      <c r="AR193" s="12">
        <v>0</v>
      </c>
      <c r="AS193" s="12"/>
      <c r="AT193" s="12">
        <v>0</v>
      </c>
      <c r="AU193" s="12"/>
      <c r="AV193" s="12">
        <v>0</v>
      </c>
      <c r="AW193" s="12"/>
      <c r="AX193" s="12">
        <v>0</v>
      </c>
      <c r="AY193" s="12"/>
      <c r="AZ193" s="12">
        <v>0</v>
      </c>
      <c r="BA193" s="12"/>
      <c r="BB193" s="12">
        <v>0</v>
      </c>
      <c r="BC193" s="12"/>
      <c r="BD193" s="12">
        <v>0</v>
      </c>
      <c r="BE193" s="12"/>
      <c r="BF193" s="12">
        <v>0</v>
      </c>
      <c r="BG193" s="12"/>
      <c r="BH193" s="12">
        <v>0</v>
      </c>
      <c r="BI193" s="12"/>
      <c r="BJ193" s="12">
        <v>0</v>
      </c>
      <c r="BK193" s="12"/>
      <c r="BL193" s="12">
        <v>0</v>
      </c>
      <c r="BM193" s="12"/>
      <c r="BN193" s="12">
        <f>SUM(T193:BM193)</f>
        <v>61421.659999999989</v>
      </c>
      <c r="BO193" s="12"/>
      <c r="BP193" s="12">
        <v>0</v>
      </c>
      <c r="BQ193" s="12"/>
      <c r="BR193" s="6">
        <f>IF(+R193-BN193+BP193&gt;0,R193-BN193+BP193,0)</f>
        <v>0</v>
      </c>
      <c r="BS193" s="12"/>
      <c r="BT193" s="6">
        <f>+BN193+BR193</f>
        <v>61421.659999999989</v>
      </c>
      <c r="BU193" s="12"/>
      <c r="BV193" s="6">
        <f>+R193-BT193</f>
        <v>-61421.659999999989</v>
      </c>
      <c r="BW193" s="12"/>
      <c r="BX193"/>
      <c r="BY193"/>
      <c r="BZ193"/>
      <c r="CA193"/>
      <c r="CB193"/>
      <c r="CC193"/>
      <c r="CD193"/>
      <c r="CE193"/>
      <c r="CF193"/>
      <c r="CG193"/>
      <c r="CH193"/>
      <c r="CI193"/>
      <c r="CJ193"/>
      <c r="CK193"/>
      <c r="CL193"/>
      <c r="CM193"/>
      <c r="CN193"/>
      <c r="CO193"/>
      <c r="CP193"/>
      <c r="CQ193"/>
      <c r="CR193"/>
      <c r="CS193"/>
      <c r="CT193"/>
      <c r="CU193"/>
      <c r="CV193"/>
      <c r="CW193"/>
      <c r="CX193"/>
      <c r="CY193"/>
      <c r="CZ193"/>
      <c r="DA193"/>
      <c r="DB193"/>
      <c r="DC193"/>
      <c r="DD193"/>
      <c r="DE193"/>
      <c r="DF193"/>
      <c r="DG193"/>
      <c r="DH193"/>
      <c r="DI193"/>
      <c r="DJ193"/>
      <c r="DK193"/>
      <c r="DL193"/>
      <c r="DM193"/>
      <c r="DN193"/>
      <c r="DO193"/>
      <c r="DP193"/>
      <c r="DQ193"/>
      <c r="DR193"/>
      <c r="DS193"/>
      <c r="DT193"/>
    </row>
    <row r="194" spans="1:124" s="11" customFormat="1">
      <c r="A194" s="17"/>
      <c r="B194" s="11" t="s">
        <v>218</v>
      </c>
      <c r="J194" s="157"/>
      <c r="L194" s="144" t="s">
        <v>203</v>
      </c>
      <c r="M194" s="12"/>
      <c r="N194" s="12">
        <v>500000</v>
      </c>
      <c r="O194" s="12"/>
      <c r="P194" s="12">
        <f>-300000-10271.2</f>
        <v>-310271.2</v>
      </c>
      <c r="Q194" s="12"/>
      <c r="R194" s="6">
        <v>0</v>
      </c>
      <c r="S194" s="12"/>
      <c r="T194" s="12">
        <v>0</v>
      </c>
      <c r="U194" s="12"/>
      <c r="V194" s="12">
        <v>0</v>
      </c>
      <c r="W194" s="12"/>
      <c r="X194" s="12">
        <v>0</v>
      </c>
      <c r="Y194" s="12"/>
      <c r="Z194" s="12">
        <v>0</v>
      </c>
      <c r="AA194" s="12"/>
      <c r="AB194" s="12">
        <v>76235.100000000006</v>
      </c>
      <c r="AC194" s="12"/>
      <c r="AD194" s="12">
        <v>51621.39</v>
      </c>
      <c r="AE194" s="12"/>
      <c r="AF194" s="12">
        <v>16078.18</v>
      </c>
      <c r="AG194" s="12"/>
      <c r="AH194" s="12">
        <f>8609.85+7441.04</f>
        <v>16050.89</v>
      </c>
      <c r="AI194" s="12"/>
      <c r="AJ194" s="12">
        <v>0</v>
      </c>
      <c r="AK194" s="12"/>
      <c r="AL194" s="12"/>
      <c r="AM194" s="12"/>
      <c r="AN194" s="12">
        <v>0</v>
      </c>
      <c r="AO194" s="12"/>
      <c r="AP194" s="12"/>
      <c r="AQ194" s="12"/>
      <c r="AR194" s="12">
        <v>0</v>
      </c>
      <c r="AS194" s="12"/>
      <c r="AT194" s="12">
        <v>0</v>
      </c>
      <c r="AU194" s="12"/>
      <c r="AV194" s="12">
        <v>0</v>
      </c>
      <c r="AW194" s="12"/>
      <c r="AX194" s="12">
        <v>0</v>
      </c>
      <c r="AY194" s="12"/>
      <c r="AZ194" s="12">
        <v>0</v>
      </c>
      <c r="BA194" s="12"/>
      <c r="BB194" s="12">
        <v>0</v>
      </c>
      <c r="BC194" s="12"/>
      <c r="BD194" s="12">
        <v>0</v>
      </c>
      <c r="BE194" s="12"/>
      <c r="BF194" s="12">
        <v>0</v>
      </c>
      <c r="BG194" s="12"/>
      <c r="BH194" s="12">
        <v>0</v>
      </c>
      <c r="BI194" s="12"/>
      <c r="BJ194" s="12">
        <v>0</v>
      </c>
      <c r="BK194" s="12"/>
      <c r="BL194" s="12">
        <v>0</v>
      </c>
      <c r="BM194" s="12"/>
      <c r="BN194" s="12">
        <f>SUM(T194:BM194)</f>
        <v>159985.56</v>
      </c>
      <c r="BO194" s="12"/>
      <c r="BP194" s="12">
        <v>0</v>
      </c>
      <c r="BQ194" s="12"/>
      <c r="BR194" s="6">
        <f>IF(+R194-BN194+BP194&gt;0,R194-BN194+BP194,0)</f>
        <v>0</v>
      </c>
      <c r="BS194" s="12"/>
      <c r="BT194" s="6">
        <f>+BN194+BR194</f>
        <v>159985.56</v>
      </c>
      <c r="BU194" s="12"/>
      <c r="BV194" s="6">
        <f>+R194-BT194</f>
        <v>-159985.56</v>
      </c>
      <c r="BW194" s="12"/>
      <c r="BX194"/>
      <c r="BY194"/>
      <c r="BZ194"/>
      <c r="CA194"/>
      <c r="CB194"/>
      <c r="CC194"/>
      <c r="CD194"/>
      <c r="CE194"/>
      <c r="CF194"/>
      <c r="CG194"/>
      <c r="CH194"/>
      <c r="CI194"/>
      <c r="CJ194"/>
      <c r="CK194"/>
      <c r="CL194"/>
      <c r="CM194"/>
      <c r="CN194"/>
      <c r="CO194"/>
      <c r="CP194"/>
      <c r="CQ194"/>
      <c r="CR194"/>
      <c r="CS194"/>
      <c r="CT194"/>
      <c r="CU194"/>
      <c r="CV194"/>
      <c r="CW194"/>
      <c r="CX194"/>
      <c r="CY194"/>
      <c r="CZ194"/>
      <c r="DA194"/>
      <c r="DB194"/>
      <c r="DC194"/>
      <c r="DD194"/>
      <c r="DE194"/>
      <c r="DF194"/>
      <c r="DG194"/>
      <c r="DH194"/>
      <c r="DI194"/>
      <c r="DJ194"/>
      <c r="DK194"/>
      <c r="DL194"/>
      <c r="DM194"/>
      <c r="DN194"/>
      <c r="DO194"/>
      <c r="DP194"/>
      <c r="DQ194"/>
      <c r="DR194"/>
      <c r="DS194"/>
      <c r="DT194"/>
    </row>
    <row r="195" spans="1:124" s="11" customFormat="1">
      <c r="A195" s="17"/>
      <c r="B195" s="11" t="s">
        <v>220</v>
      </c>
      <c r="J195" s="157"/>
      <c r="L195" s="144"/>
      <c r="M195" s="12"/>
      <c r="N195" s="12"/>
      <c r="O195" s="12"/>
      <c r="P195" s="12">
        <v>5511</v>
      </c>
      <c r="Q195" s="12"/>
      <c r="R195" s="6">
        <v>0</v>
      </c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>
        <v>5510.85</v>
      </c>
      <c r="AE195" s="12"/>
      <c r="AF195" s="12">
        <v>10271.200000000001</v>
      </c>
      <c r="AG195" s="12"/>
      <c r="AH195" s="12"/>
      <c r="AI195" s="12"/>
      <c r="AJ195" s="12"/>
      <c r="AK195" s="12"/>
      <c r="AL195" s="12"/>
      <c r="AM195" s="12"/>
      <c r="AN195" s="12"/>
      <c r="AO195" s="12"/>
      <c r="AP195" s="12"/>
      <c r="AQ195" s="12"/>
      <c r="AR195" s="12"/>
      <c r="AS195" s="12"/>
      <c r="AT195" s="12"/>
      <c r="AU195" s="12"/>
      <c r="AV195" s="12"/>
      <c r="AW195" s="12"/>
      <c r="AX195" s="12"/>
      <c r="AY195" s="12"/>
      <c r="AZ195" s="12"/>
      <c r="BA195" s="12"/>
      <c r="BB195" s="12"/>
      <c r="BC195" s="12"/>
      <c r="BD195" s="12"/>
      <c r="BE195" s="12"/>
      <c r="BF195" s="12"/>
      <c r="BG195" s="12"/>
      <c r="BH195" s="12"/>
      <c r="BI195" s="12"/>
      <c r="BJ195" s="12"/>
      <c r="BK195" s="12"/>
      <c r="BL195" s="12"/>
      <c r="BM195" s="12"/>
      <c r="BN195" s="12">
        <f>SUM(T195:BM195)</f>
        <v>15782.050000000001</v>
      </c>
      <c r="BO195" s="12"/>
      <c r="BP195" s="12">
        <v>0</v>
      </c>
      <c r="BQ195" s="12"/>
      <c r="BR195" s="6">
        <f>IF(+R195-BN195+BP195&gt;0,R195-BN195+BP195,0)</f>
        <v>0</v>
      </c>
      <c r="BS195" s="12"/>
      <c r="BT195" s="6">
        <f>+BN195+BR195</f>
        <v>15782.050000000001</v>
      </c>
      <c r="BU195" s="12"/>
      <c r="BV195" s="6">
        <f>+R195-BT195</f>
        <v>-15782.050000000001</v>
      </c>
      <c r="BW195" s="12"/>
      <c r="BX195"/>
      <c r="BY195"/>
      <c r="BZ195"/>
      <c r="CA195"/>
      <c r="CB195"/>
      <c r="CC195"/>
      <c r="CD195"/>
      <c r="CE195"/>
      <c r="CF195"/>
      <c r="CG195"/>
      <c r="CH195"/>
      <c r="CI195"/>
      <c r="CJ195"/>
      <c r="CK195"/>
      <c r="CL195"/>
      <c r="CM195"/>
      <c r="CN195"/>
      <c r="CO195"/>
      <c r="CP195"/>
      <c r="CQ195"/>
      <c r="CR195"/>
      <c r="CS195"/>
      <c r="CT195"/>
      <c r="CU195"/>
      <c r="CV195"/>
      <c r="CW195"/>
      <c r="CX195"/>
      <c r="CY195"/>
      <c r="CZ195"/>
      <c r="DA195"/>
      <c r="DB195"/>
      <c r="DC195"/>
      <c r="DD195"/>
      <c r="DE195"/>
      <c r="DF195"/>
      <c r="DG195"/>
      <c r="DH195"/>
      <c r="DI195"/>
      <c r="DJ195"/>
      <c r="DK195"/>
      <c r="DL195"/>
      <c r="DM195"/>
      <c r="DN195"/>
      <c r="DO195"/>
      <c r="DP195"/>
      <c r="DQ195"/>
      <c r="DR195"/>
      <c r="DS195"/>
      <c r="DT195"/>
    </row>
    <row r="196" spans="1:124" s="21" customFormat="1">
      <c r="A196" s="56"/>
      <c r="B196" s="31" t="s">
        <v>41</v>
      </c>
      <c r="J196" s="8"/>
      <c r="L196" s="141"/>
      <c r="M196" s="9"/>
      <c r="N196" s="102">
        <f>SUM(N193:N195)</f>
        <v>500000</v>
      </c>
      <c r="O196" s="102">
        <f>SUM(O193:O195)</f>
        <v>0</v>
      </c>
      <c r="P196" s="102">
        <f>SUM(P193:P195)</f>
        <v>-10271.200000000012</v>
      </c>
      <c r="Q196" s="102">
        <f>SUM(Q193:Q195)</f>
        <v>0</v>
      </c>
      <c r="R196" s="102">
        <f>SUM(R193:R195)</f>
        <v>0</v>
      </c>
      <c r="S196" s="9"/>
      <c r="T196" s="102">
        <f>SUM(T193:T195)</f>
        <v>0</v>
      </c>
      <c r="U196" s="9"/>
      <c r="V196" s="102">
        <f>SUM(V193:V195)</f>
        <v>0</v>
      </c>
      <c r="W196" s="9"/>
      <c r="X196" s="102">
        <f>SUM(X193:X195)</f>
        <v>0</v>
      </c>
      <c r="Y196" s="9"/>
      <c r="Z196" s="102">
        <f>SUM(Z193:Z195)</f>
        <v>9963.17</v>
      </c>
      <c r="AA196" s="9"/>
      <c r="AB196" s="102">
        <f>SUM(AB193:AB195)</f>
        <v>76235.100000000006</v>
      </c>
      <c r="AC196" s="9"/>
      <c r="AD196" s="102">
        <f>SUM(AD193:AD195)</f>
        <v>60917.24</v>
      </c>
      <c r="AE196" s="9"/>
      <c r="AF196" s="102">
        <f>SUM(AF193:AF195)</f>
        <v>26349.38</v>
      </c>
      <c r="AG196" s="9"/>
      <c r="AH196" s="102">
        <f>SUM(AH193:AH195)</f>
        <v>49418.049999999996</v>
      </c>
      <c r="AI196" s="9"/>
      <c r="AJ196" s="102">
        <f>SUM(AJ193:AJ195)</f>
        <v>0</v>
      </c>
      <c r="AK196" s="9"/>
      <c r="AL196" s="102">
        <f>SUM(AL193:AL195)</f>
        <v>-14302.18</v>
      </c>
      <c r="AM196" s="102"/>
      <c r="AN196" s="102">
        <f>SUM(AN193:AN195)</f>
        <v>0</v>
      </c>
      <c r="AO196" s="9"/>
      <c r="AP196" s="102">
        <f>SUM(AP193:AP195)</f>
        <v>28608.51</v>
      </c>
      <c r="AQ196" s="9"/>
      <c r="AR196" s="102">
        <f>SUM(AR193:AR195)</f>
        <v>0</v>
      </c>
      <c r="AS196" s="9"/>
      <c r="AT196" s="102">
        <f>SUM(AT193:AT195)</f>
        <v>0</v>
      </c>
      <c r="AU196" s="9"/>
      <c r="AV196" s="102">
        <f>SUM(AV193:AV195)</f>
        <v>0</v>
      </c>
      <c r="AW196" s="10"/>
      <c r="AX196" s="102">
        <f>SUM(AX193:AX195)</f>
        <v>0</v>
      </c>
      <c r="AY196" s="10"/>
      <c r="AZ196" s="102">
        <f>SUM(AZ193:AZ195)</f>
        <v>0</v>
      </c>
      <c r="BA196" s="10"/>
      <c r="BB196" s="102">
        <f>SUM(BB193:BB195)</f>
        <v>0</v>
      </c>
      <c r="BC196" s="10"/>
      <c r="BD196" s="102">
        <f>SUM(BD193:BD195)</f>
        <v>0</v>
      </c>
      <c r="BE196" s="10"/>
      <c r="BF196" s="102">
        <f>SUM(BF193:BF195)</f>
        <v>0</v>
      </c>
      <c r="BG196" s="10"/>
      <c r="BH196" s="102">
        <f>SUM(BH193:BH195)</f>
        <v>0</v>
      </c>
      <c r="BI196" s="10"/>
      <c r="BJ196" s="102">
        <f>SUM(BJ193:BJ195)</f>
        <v>0</v>
      </c>
      <c r="BK196" s="10"/>
      <c r="BL196" s="102">
        <f>SUM(BL193:BL195)</f>
        <v>0</v>
      </c>
      <c r="BM196" s="9"/>
      <c r="BN196" s="102">
        <f>SUM(BN193:BN195)</f>
        <v>237189.26999999996</v>
      </c>
      <c r="BO196" s="9"/>
      <c r="BP196" s="102">
        <f>SUM(BP193:BP195)</f>
        <v>0</v>
      </c>
      <c r="BQ196" s="9"/>
      <c r="BR196" s="102">
        <f>SUM(BR193:BR195)</f>
        <v>0</v>
      </c>
      <c r="BS196" s="9"/>
      <c r="BT196" s="102">
        <f>SUM(BT193:BT195)</f>
        <v>237189.26999999996</v>
      </c>
      <c r="BU196" s="9"/>
      <c r="BV196" s="102">
        <f>SUM(BV193:BV195)</f>
        <v>-237189.26999999996</v>
      </c>
      <c r="BW196" s="9"/>
      <c r="BX196"/>
      <c r="BY196"/>
      <c r="BZ196"/>
      <c r="CA196"/>
      <c r="CB196"/>
      <c r="CC196"/>
      <c r="CD196"/>
      <c r="CE196"/>
      <c r="CF196"/>
      <c r="CG196"/>
      <c r="CH196"/>
      <c r="CI196"/>
      <c r="CJ196"/>
      <c r="CK196"/>
      <c r="CL196"/>
      <c r="CM196"/>
      <c r="CN196"/>
      <c r="CO196"/>
      <c r="CP196"/>
      <c r="CQ196"/>
      <c r="CR196"/>
      <c r="CS196"/>
      <c r="CT196"/>
      <c r="CU196"/>
      <c r="CV196"/>
      <c r="CW196"/>
      <c r="CX196"/>
      <c r="CY196"/>
      <c r="CZ196"/>
      <c r="DA196"/>
      <c r="DB196"/>
      <c r="DC196"/>
      <c r="DD196"/>
      <c r="DE196"/>
      <c r="DF196"/>
      <c r="DG196"/>
      <c r="DH196"/>
      <c r="DI196"/>
      <c r="DJ196"/>
      <c r="DK196"/>
      <c r="DL196"/>
      <c r="DM196"/>
      <c r="DN196"/>
      <c r="DO196"/>
      <c r="DP196"/>
      <c r="DQ196"/>
      <c r="DR196"/>
      <c r="DS196"/>
      <c r="DT196"/>
    </row>
    <row r="197" spans="1:124" s="21" customFormat="1">
      <c r="A197" s="58"/>
      <c r="B197" s="31"/>
      <c r="J197" s="8"/>
      <c r="L197" s="141"/>
      <c r="M197" s="9"/>
      <c r="N197" s="10"/>
      <c r="O197" s="10"/>
      <c r="P197" s="10"/>
      <c r="Q197" s="10"/>
      <c r="R197" s="10"/>
      <c r="S197" s="9"/>
      <c r="T197" s="10"/>
      <c r="U197" s="9"/>
      <c r="V197" s="10"/>
      <c r="W197" s="9"/>
      <c r="X197" s="10"/>
      <c r="Y197" s="9"/>
      <c r="Z197" s="10"/>
      <c r="AA197" s="9"/>
      <c r="AB197" s="10"/>
      <c r="AC197" s="9"/>
      <c r="AD197" s="10"/>
      <c r="AE197" s="9"/>
      <c r="AF197" s="10"/>
      <c r="AG197" s="9"/>
      <c r="AH197" s="10"/>
      <c r="AI197" s="9"/>
      <c r="AJ197" s="10"/>
      <c r="AK197" s="9"/>
      <c r="AL197" s="10"/>
      <c r="AM197" s="9"/>
      <c r="AN197" s="10"/>
      <c r="AO197" s="9"/>
      <c r="AP197" s="10"/>
      <c r="AQ197" s="9"/>
      <c r="AR197" s="10"/>
      <c r="AS197" s="9"/>
      <c r="AT197" s="10"/>
      <c r="AU197" s="9"/>
      <c r="AV197" s="10"/>
      <c r="AW197" s="10"/>
      <c r="AX197" s="10"/>
      <c r="AY197" s="10"/>
      <c r="AZ197" s="10"/>
      <c r="BA197" s="10"/>
      <c r="BB197" s="10"/>
      <c r="BC197" s="10"/>
      <c r="BD197" s="10"/>
      <c r="BE197" s="10"/>
      <c r="BF197" s="10"/>
      <c r="BG197" s="10"/>
      <c r="BH197" s="10"/>
      <c r="BI197" s="10"/>
      <c r="BJ197" s="10"/>
      <c r="BK197" s="10"/>
      <c r="BL197" s="10"/>
      <c r="BM197" s="9"/>
      <c r="BN197" s="10"/>
      <c r="BO197" s="9"/>
      <c r="BP197" s="10"/>
      <c r="BQ197" s="9"/>
      <c r="BR197" s="10"/>
      <c r="BS197" s="9"/>
      <c r="BT197" s="10"/>
      <c r="BU197" s="9"/>
      <c r="BV197" s="10"/>
      <c r="BW197" s="9"/>
      <c r="BX197"/>
      <c r="BY197"/>
      <c r="BZ197"/>
      <c r="CA197"/>
      <c r="CB197"/>
      <c r="CC197"/>
      <c r="CD197"/>
      <c r="CE197"/>
      <c r="CF197"/>
      <c r="CG197"/>
      <c r="CH197"/>
      <c r="CI197"/>
      <c r="CJ197"/>
      <c r="CK197"/>
      <c r="CL197"/>
      <c r="CM197"/>
      <c r="CN197"/>
      <c r="CO197"/>
      <c r="CP197"/>
      <c r="CQ197"/>
      <c r="CR197"/>
      <c r="CS197"/>
      <c r="CT197"/>
      <c r="CU197"/>
      <c r="CV197"/>
      <c r="CW197"/>
      <c r="CX197"/>
      <c r="CY197"/>
      <c r="CZ197"/>
      <c r="DA197"/>
      <c r="DB197"/>
      <c r="DC197"/>
      <c r="DD197"/>
      <c r="DE197"/>
      <c r="DF197"/>
      <c r="DG197"/>
      <c r="DH197"/>
      <c r="DI197"/>
      <c r="DJ197"/>
      <c r="DK197"/>
      <c r="DL197"/>
      <c r="DM197"/>
      <c r="DN197"/>
      <c r="DO197"/>
      <c r="DP197"/>
      <c r="DQ197"/>
      <c r="DR197"/>
      <c r="DS197"/>
      <c r="DT197"/>
    </row>
    <row r="198" spans="1:124" s="31" customFormat="1">
      <c r="A198" s="58" t="s">
        <v>249</v>
      </c>
      <c r="J198" s="156"/>
      <c r="L198" s="143" t="s">
        <v>202</v>
      </c>
      <c r="M198" s="10"/>
      <c r="N198" s="10">
        <v>10922239</v>
      </c>
      <c r="O198" s="10"/>
      <c r="P198" s="10">
        <f>10969926-N198</f>
        <v>47687</v>
      </c>
      <c r="Q198" s="10"/>
      <c r="R198" s="9">
        <v>0</v>
      </c>
      <c r="S198" s="10"/>
      <c r="T198" s="10">
        <v>704264</v>
      </c>
      <c r="U198" s="10"/>
      <c r="V198" s="10">
        <f>366584-46260</f>
        <v>320324</v>
      </c>
      <c r="W198" s="10"/>
      <c r="X198" s="10">
        <v>477081</v>
      </c>
      <c r="Y198" s="10"/>
      <c r="Z198" s="10">
        <f>-11622+437418</f>
        <v>425796</v>
      </c>
      <c r="AA198" s="10"/>
      <c r="AB198" s="10">
        <v>378280</v>
      </c>
      <c r="AC198" s="10"/>
      <c r="AD198" s="10">
        <v>557261</v>
      </c>
      <c r="AE198" s="10"/>
      <c r="AF198" s="10">
        <f>'[1]Calvert City'!$I$38</f>
        <v>481371.22496666672</v>
      </c>
      <c r="AG198" s="10"/>
      <c r="AH198" s="10">
        <f>'[1]Calvert City'!$J$38</f>
        <v>488494.44316995825</v>
      </c>
      <c r="AI198" s="10"/>
      <c r="AJ198" s="10">
        <f>'[1]Calvert City'!$K$38</f>
        <v>500068.5242301845</v>
      </c>
      <c r="AK198" s="10"/>
      <c r="AL198" s="10">
        <f>-SUM(T198:AJ198)</f>
        <v>-4332940.1923668096</v>
      </c>
      <c r="AM198" s="10"/>
      <c r="AN198" s="10">
        <v>0</v>
      </c>
      <c r="AO198" s="10"/>
      <c r="AP198" s="10">
        <v>0</v>
      </c>
      <c r="AQ198" s="10"/>
      <c r="AR198" s="10">
        <v>0</v>
      </c>
      <c r="AS198" s="10"/>
      <c r="AT198" s="10">
        <v>0</v>
      </c>
      <c r="AU198" s="10"/>
      <c r="AV198" s="10">
        <v>0</v>
      </c>
      <c r="AW198" s="10"/>
      <c r="AX198" s="10">
        <v>0</v>
      </c>
      <c r="AY198" s="10"/>
      <c r="AZ198" s="10">
        <v>0</v>
      </c>
      <c r="BA198" s="10"/>
      <c r="BB198" s="10">
        <v>0</v>
      </c>
      <c r="BC198" s="10"/>
      <c r="BD198" s="10">
        <v>0</v>
      </c>
      <c r="BE198" s="10"/>
      <c r="BF198" s="10">
        <v>0</v>
      </c>
      <c r="BG198" s="10"/>
      <c r="BH198" s="10">
        <v>0</v>
      </c>
      <c r="BI198" s="10"/>
      <c r="BJ198" s="10">
        <v>0</v>
      </c>
      <c r="BK198" s="10"/>
      <c r="BL198" s="10">
        <v>0</v>
      </c>
      <c r="BM198" s="10"/>
      <c r="BN198" s="10">
        <f>SUM(T198:BM198)</f>
        <v>0</v>
      </c>
      <c r="BO198" s="10"/>
      <c r="BP198" s="10">
        <v>0</v>
      </c>
      <c r="BQ198" s="10"/>
      <c r="BR198" s="6">
        <f>IF(+R198-BN198+BP198&gt;0,R198-BN198+BP198,0)</f>
        <v>0</v>
      </c>
      <c r="BS198" s="10"/>
      <c r="BT198" s="9">
        <f>+BN198+BR198</f>
        <v>0</v>
      </c>
      <c r="BU198" s="10"/>
      <c r="BV198" s="9">
        <f>+R198-BT198</f>
        <v>0</v>
      </c>
      <c r="BW198" s="10"/>
      <c r="BX198"/>
      <c r="BY198"/>
      <c r="BZ198"/>
      <c r="CA198"/>
      <c r="CB198"/>
      <c r="CC198"/>
      <c r="CD198"/>
      <c r="CE198"/>
      <c r="CF198"/>
      <c r="CG198"/>
      <c r="CH198"/>
      <c r="CI198"/>
      <c r="CJ198"/>
      <c r="CK198"/>
      <c r="CL198"/>
      <c r="CM198"/>
      <c r="CN198"/>
      <c r="CO198"/>
      <c r="CP198"/>
      <c r="CQ198"/>
      <c r="CR198"/>
      <c r="CS198"/>
      <c r="CT198"/>
      <c r="CU198"/>
      <c r="CV198"/>
      <c r="CW198"/>
      <c r="CX198"/>
      <c r="CY198"/>
      <c r="CZ198"/>
      <c r="DA198"/>
      <c r="DB198"/>
      <c r="DC198"/>
      <c r="DD198"/>
      <c r="DE198"/>
      <c r="DF198"/>
      <c r="DG198"/>
      <c r="DH198"/>
      <c r="DI198"/>
      <c r="DJ198"/>
      <c r="DK198"/>
      <c r="DL198"/>
      <c r="DM198"/>
      <c r="DN198"/>
      <c r="DO198"/>
      <c r="DP198"/>
      <c r="DQ198"/>
      <c r="DR198"/>
      <c r="DS198"/>
      <c r="DT198"/>
    </row>
    <row r="199" spans="1:124" s="21" customFormat="1">
      <c r="A199" s="56"/>
      <c r="B199" s="31"/>
      <c r="J199" s="8"/>
      <c r="L199" s="141"/>
      <c r="M199" s="9"/>
      <c r="N199" s="10"/>
      <c r="O199" s="9"/>
      <c r="P199" s="10"/>
      <c r="Q199" s="9"/>
      <c r="R199" s="10"/>
      <c r="S199" s="9"/>
      <c r="T199" s="10"/>
      <c r="U199" s="9"/>
      <c r="V199" s="10"/>
      <c r="W199" s="9"/>
      <c r="X199" s="10"/>
      <c r="Y199" s="9"/>
      <c r="Z199" s="10"/>
      <c r="AA199" s="9"/>
      <c r="AB199" s="10"/>
      <c r="AC199" s="9"/>
      <c r="AD199" s="10"/>
      <c r="AE199" s="9"/>
      <c r="AF199" s="10"/>
      <c r="AG199" s="9"/>
      <c r="AH199" s="10"/>
      <c r="AI199" s="9"/>
      <c r="AJ199" s="10"/>
      <c r="AK199" s="9"/>
      <c r="AL199" s="10"/>
      <c r="AM199" s="9"/>
      <c r="AN199" s="10"/>
      <c r="AO199" s="9"/>
      <c r="AP199" s="10"/>
      <c r="AQ199" s="9"/>
      <c r="AR199" s="10"/>
      <c r="AS199" s="9"/>
      <c r="AT199" s="10"/>
      <c r="AU199" s="9"/>
      <c r="AV199" s="10"/>
      <c r="AW199" s="10"/>
      <c r="AX199" s="10"/>
      <c r="AY199" s="10"/>
      <c r="AZ199" s="10"/>
      <c r="BA199" s="10"/>
      <c r="BB199" s="10"/>
      <c r="BC199" s="10"/>
      <c r="BD199" s="10"/>
      <c r="BE199" s="10"/>
      <c r="BF199" s="10"/>
      <c r="BG199" s="10"/>
      <c r="BH199" s="10"/>
      <c r="BI199" s="10"/>
      <c r="BJ199" s="10"/>
      <c r="BK199" s="10"/>
      <c r="BL199" s="10"/>
      <c r="BM199" s="9"/>
      <c r="BN199" s="10"/>
      <c r="BO199" s="9"/>
      <c r="BP199" s="10"/>
      <c r="BQ199" s="9"/>
      <c r="BR199" s="10"/>
      <c r="BS199" s="9"/>
      <c r="BT199" s="10"/>
      <c r="BU199" s="9"/>
      <c r="BV199" s="10"/>
      <c r="BW199" s="9"/>
      <c r="BX199"/>
      <c r="BY199"/>
      <c r="BZ199"/>
      <c r="CA199"/>
      <c r="CB199"/>
      <c r="CC199"/>
      <c r="CD199"/>
      <c r="CE199"/>
      <c r="CF199"/>
      <c r="CG199"/>
      <c r="CH199"/>
      <c r="CI199"/>
      <c r="CJ199"/>
      <c r="CK199"/>
      <c r="CL199"/>
      <c r="CM199"/>
      <c r="CN199"/>
      <c r="CO199"/>
      <c r="CP199"/>
      <c r="CQ199"/>
      <c r="CR199"/>
      <c r="CS199"/>
      <c r="CT199"/>
      <c r="CU199"/>
      <c r="CV199"/>
      <c r="CW199"/>
      <c r="CX199"/>
      <c r="CY199"/>
      <c r="CZ199"/>
      <c r="DA199"/>
      <c r="DB199"/>
      <c r="DC199"/>
      <c r="DD199"/>
      <c r="DE199"/>
      <c r="DF199"/>
      <c r="DG199"/>
      <c r="DH199"/>
      <c r="DI199"/>
      <c r="DJ199"/>
      <c r="DK199"/>
      <c r="DL199"/>
      <c r="DM199"/>
      <c r="DN199"/>
      <c r="DO199"/>
      <c r="DP199"/>
      <c r="DQ199"/>
      <c r="DR199"/>
      <c r="DS199"/>
      <c r="DT199"/>
    </row>
    <row r="200" spans="1:124" s="105" customFormat="1">
      <c r="A200" s="84" t="s">
        <v>248</v>
      </c>
      <c r="B200" s="54"/>
      <c r="J200" s="155"/>
      <c r="L200" s="142"/>
      <c r="M200" s="13"/>
      <c r="N200" s="120"/>
      <c r="O200" s="13"/>
      <c r="P200" s="120"/>
      <c r="Q200" s="13"/>
      <c r="R200" s="120">
        <f>R198+R190+R182+R180+R178+R172+R163+R153+R146+R144+R142+R140+R138+R196+R170</f>
        <v>0</v>
      </c>
      <c r="S200" s="120">
        <f t="shared" ref="S200:BS200" si="35">S198+S190+S182+S180+S178+S172+S163+S153+S146+S144+S142+S140+S138+S196</f>
        <v>0</v>
      </c>
      <c r="T200" s="120">
        <f t="shared" si="35"/>
        <v>704264</v>
      </c>
      <c r="U200" s="120">
        <f t="shared" si="35"/>
        <v>0</v>
      </c>
      <c r="V200" s="120">
        <f t="shared" si="35"/>
        <v>320959</v>
      </c>
      <c r="W200" s="120">
        <f t="shared" si="35"/>
        <v>0</v>
      </c>
      <c r="X200" s="120">
        <f t="shared" si="35"/>
        <v>569241.61</v>
      </c>
      <c r="Y200" s="120">
        <f t="shared" si="35"/>
        <v>0</v>
      </c>
      <c r="Z200" s="120">
        <f t="shared" si="35"/>
        <v>475448.42</v>
      </c>
      <c r="AA200" s="120">
        <f t="shared" si="35"/>
        <v>0</v>
      </c>
      <c r="AB200" s="120">
        <f t="shared" si="35"/>
        <v>468179.56000000006</v>
      </c>
      <c r="AC200" s="120">
        <f t="shared" si="35"/>
        <v>0</v>
      </c>
      <c r="AD200" s="120">
        <f t="shared" si="35"/>
        <v>896272.32</v>
      </c>
      <c r="AE200" s="120">
        <f t="shared" si="35"/>
        <v>0</v>
      </c>
      <c r="AF200" s="120">
        <f t="shared" si="35"/>
        <v>666001.55496666674</v>
      </c>
      <c r="AG200" s="120"/>
      <c r="AH200" s="120">
        <f t="shared" si="35"/>
        <v>672045.7031699582</v>
      </c>
      <c r="AI200" s="120"/>
      <c r="AJ200" s="120">
        <f t="shared" si="35"/>
        <v>557205.69423018454</v>
      </c>
      <c r="AK200" s="120"/>
      <c r="AL200" s="120">
        <f t="shared" si="35"/>
        <v>-4904623.0323668094</v>
      </c>
      <c r="AM200" s="120"/>
      <c r="AN200" s="120">
        <f t="shared" si="35"/>
        <v>378540.52</v>
      </c>
      <c r="AO200" s="120"/>
      <c r="AP200" s="120">
        <f t="shared" si="35"/>
        <v>323352.19</v>
      </c>
      <c r="AQ200" s="120"/>
      <c r="AR200" s="120">
        <f t="shared" si="35"/>
        <v>16697.29</v>
      </c>
      <c r="AS200" s="120"/>
      <c r="AT200" s="120">
        <f t="shared" si="35"/>
        <v>0</v>
      </c>
      <c r="AU200" s="120">
        <f t="shared" si="35"/>
        <v>0</v>
      </c>
      <c r="AV200" s="120">
        <f t="shared" si="35"/>
        <v>0</v>
      </c>
      <c r="AW200" s="120">
        <f t="shared" si="35"/>
        <v>0</v>
      </c>
      <c r="AX200" s="120">
        <f t="shared" si="35"/>
        <v>0</v>
      </c>
      <c r="AY200" s="120">
        <f t="shared" si="35"/>
        <v>0</v>
      </c>
      <c r="AZ200" s="120">
        <f t="shared" si="35"/>
        <v>0</v>
      </c>
      <c r="BA200" s="120">
        <f t="shared" si="35"/>
        <v>0</v>
      </c>
      <c r="BB200" s="120">
        <f t="shared" si="35"/>
        <v>0</v>
      </c>
      <c r="BC200" s="120">
        <f t="shared" si="35"/>
        <v>0</v>
      </c>
      <c r="BD200" s="120">
        <f t="shared" si="35"/>
        <v>6000</v>
      </c>
      <c r="BE200" s="120">
        <f t="shared" si="35"/>
        <v>0</v>
      </c>
      <c r="BF200" s="120">
        <f t="shared" si="35"/>
        <v>0</v>
      </c>
      <c r="BG200" s="120">
        <f t="shared" si="35"/>
        <v>0</v>
      </c>
      <c r="BH200" s="120">
        <f t="shared" si="35"/>
        <v>0</v>
      </c>
      <c r="BI200" s="120">
        <f t="shared" si="35"/>
        <v>0</v>
      </c>
      <c r="BJ200" s="120">
        <f t="shared" si="35"/>
        <v>0</v>
      </c>
      <c r="BK200" s="120">
        <f t="shared" si="35"/>
        <v>0</v>
      </c>
      <c r="BL200" s="120">
        <f t="shared" si="35"/>
        <v>0</v>
      </c>
      <c r="BM200" s="120">
        <f t="shared" si="35"/>
        <v>0</v>
      </c>
      <c r="BN200" s="120">
        <f t="shared" si="35"/>
        <v>1149584.83</v>
      </c>
      <c r="BO200" s="120">
        <f t="shared" si="35"/>
        <v>0</v>
      </c>
      <c r="BP200" s="120">
        <f t="shared" si="35"/>
        <v>0</v>
      </c>
      <c r="BQ200" s="120">
        <f t="shared" si="35"/>
        <v>0</v>
      </c>
      <c r="BR200" s="120">
        <f t="shared" si="35"/>
        <v>0.22999999999592546</v>
      </c>
      <c r="BS200" s="120">
        <f t="shared" si="35"/>
        <v>0</v>
      </c>
      <c r="BT200" s="120">
        <f>BT198+BT190+BT182+BT180+BT178+BT172+BT163+BT153+BT146+BT144+BT142+BT140+BT138+BT196</f>
        <v>1149585.06</v>
      </c>
      <c r="BU200" s="120">
        <f>BU198+BU190+BU182+BU180+BU178+BU172+BU163+BU153+BU146+BU144+BU142+BU140+BU138+BU196</f>
        <v>0</v>
      </c>
      <c r="BV200" s="120">
        <f>BV198+BV190+BV182+BV180+BV178+BV172+BV163+BV153+BV146+BV144+BV142+BV140+BV138+BV196</f>
        <v>-1149585.06</v>
      </c>
      <c r="BW200" s="120">
        <f>BW198+BW190+BW182+BW180+BW178+BW172+BW163+BW153+BW146+BW144+BW142+BW140+BW138+BW196</f>
        <v>0</v>
      </c>
      <c r="BX200"/>
      <c r="BY200"/>
      <c r="BZ200"/>
      <c r="CA200"/>
      <c r="CB200"/>
      <c r="CC200"/>
      <c r="CD200"/>
      <c r="CE200"/>
      <c r="CF200"/>
      <c r="CG200"/>
      <c r="CH200"/>
      <c r="CI200"/>
      <c r="CJ200"/>
      <c r="CK200"/>
      <c r="CL200"/>
      <c r="CM200"/>
      <c r="CN200"/>
      <c r="CO200"/>
      <c r="CP200"/>
      <c r="CQ200"/>
      <c r="CR200"/>
      <c r="CS200"/>
      <c r="CT200"/>
      <c r="CU200"/>
      <c r="CV200"/>
      <c r="CW200"/>
      <c r="CX200"/>
      <c r="CY200"/>
      <c r="CZ200"/>
      <c r="DA200"/>
      <c r="DB200"/>
      <c r="DC200"/>
      <c r="DD200"/>
      <c r="DE200"/>
      <c r="DF200"/>
      <c r="DG200"/>
      <c r="DH200"/>
      <c r="DI200"/>
      <c r="DJ200"/>
      <c r="DK200"/>
      <c r="DL200"/>
      <c r="DM200"/>
      <c r="DN200"/>
      <c r="DO200"/>
      <c r="DP200"/>
      <c r="DQ200"/>
      <c r="DR200"/>
      <c r="DS200"/>
      <c r="DT200"/>
    </row>
    <row r="201" spans="1:124" s="21" customFormat="1">
      <c r="A201" s="56"/>
      <c r="B201" s="31"/>
      <c r="J201" s="8"/>
      <c r="L201" s="141"/>
      <c r="M201" s="9"/>
      <c r="N201" s="10"/>
      <c r="O201" s="9"/>
      <c r="P201" s="10"/>
      <c r="Q201" s="9"/>
      <c r="R201" s="10"/>
      <c r="S201" s="9"/>
      <c r="T201" s="10"/>
      <c r="U201" s="9"/>
      <c r="V201" s="10"/>
      <c r="W201" s="9"/>
      <c r="X201" s="10"/>
      <c r="Y201" s="9"/>
      <c r="Z201" s="10"/>
      <c r="AA201" s="9"/>
      <c r="AB201" s="10"/>
      <c r="AC201" s="9"/>
      <c r="AD201" s="10"/>
      <c r="AE201" s="9"/>
      <c r="AF201" s="10"/>
      <c r="AG201" s="9"/>
      <c r="AH201" s="10"/>
      <c r="AI201" s="9"/>
      <c r="AJ201" s="10"/>
      <c r="AK201" s="9"/>
      <c r="AL201" s="10"/>
      <c r="AM201" s="9"/>
      <c r="AN201" s="10"/>
      <c r="AO201" s="9"/>
      <c r="AP201" s="10"/>
      <c r="AQ201" s="9"/>
      <c r="AR201" s="10"/>
      <c r="AS201" s="9"/>
      <c r="AT201" s="10"/>
      <c r="AU201" s="9"/>
      <c r="AV201" s="10"/>
      <c r="AW201" s="10"/>
      <c r="AX201" s="10"/>
      <c r="AY201" s="10"/>
      <c r="AZ201" s="10"/>
      <c r="BA201" s="10"/>
      <c r="BB201" s="10"/>
      <c r="BC201" s="10"/>
      <c r="BD201" s="10"/>
      <c r="BE201" s="10"/>
      <c r="BF201" s="10"/>
      <c r="BG201" s="10"/>
      <c r="BH201" s="10"/>
      <c r="BI201" s="10"/>
      <c r="BJ201" s="10"/>
      <c r="BK201" s="10"/>
      <c r="BL201" s="10"/>
      <c r="BM201" s="9"/>
      <c r="BN201" s="10"/>
      <c r="BO201" s="9"/>
      <c r="BP201" s="10"/>
      <c r="BQ201" s="9"/>
      <c r="BR201" s="10"/>
      <c r="BS201" s="9"/>
      <c r="BT201" s="10"/>
      <c r="BU201" s="9"/>
      <c r="BV201" s="10"/>
      <c r="BW201" s="9"/>
      <c r="BX201"/>
      <c r="BY201"/>
      <c r="BZ201"/>
      <c r="CA201"/>
      <c r="CB201"/>
      <c r="CC201"/>
      <c r="CD201"/>
      <c r="CE201"/>
      <c r="CF201"/>
      <c r="CG201"/>
      <c r="CH201"/>
      <c r="CI201"/>
      <c r="CJ201"/>
      <c r="CK201"/>
      <c r="CL201"/>
      <c r="CM201"/>
      <c r="CN201"/>
      <c r="CO201"/>
      <c r="CP201"/>
      <c r="CQ201"/>
      <c r="CR201"/>
      <c r="CS201"/>
      <c r="CT201"/>
      <c r="CU201"/>
      <c r="CV201"/>
      <c r="CW201"/>
      <c r="CX201"/>
      <c r="CY201"/>
      <c r="CZ201"/>
      <c r="DA201"/>
      <c r="DB201"/>
      <c r="DC201"/>
      <c r="DD201"/>
      <c r="DE201"/>
      <c r="DF201"/>
      <c r="DG201"/>
      <c r="DH201"/>
      <c r="DI201"/>
      <c r="DJ201"/>
      <c r="DK201"/>
      <c r="DL201"/>
      <c r="DM201"/>
      <c r="DN201"/>
      <c r="DO201"/>
      <c r="DP201"/>
      <c r="DQ201"/>
      <c r="DR201"/>
      <c r="DS201"/>
      <c r="DT201"/>
    </row>
    <row r="202" spans="1:124" s="21" customFormat="1">
      <c r="A202" s="56" t="s">
        <v>190</v>
      </c>
      <c r="B202" s="31"/>
      <c r="J202" s="8"/>
      <c r="L202" s="141" t="s">
        <v>202</v>
      </c>
      <c r="M202" s="9"/>
      <c r="N202" s="9">
        <v>5395729</v>
      </c>
      <c r="O202" s="9"/>
      <c r="P202" s="9">
        <f>5463580+-N202</f>
        <v>67851</v>
      </c>
      <c r="Q202" s="9"/>
      <c r="R202" s="9">
        <v>0</v>
      </c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  <c r="AI202" s="9"/>
      <c r="AJ202" s="9"/>
      <c r="AK202" s="9"/>
      <c r="AL202" s="9"/>
      <c r="AM202" s="9"/>
      <c r="AN202" s="9"/>
      <c r="AO202" s="9"/>
      <c r="AP202" s="9"/>
      <c r="AQ202" s="9"/>
      <c r="AR202" s="9"/>
      <c r="AS202" s="9"/>
      <c r="AT202" s="9"/>
      <c r="AU202" s="9"/>
      <c r="AV202" s="9"/>
      <c r="AW202" s="9"/>
      <c r="AX202" s="9"/>
      <c r="AY202" s="9"/>
      <c r="AZ202" s="9"/>
      <c r="BA202" s="9"/>
      <c r="BB202" s="9"/>
      <c r="BC202" s="9"/>
      <c r="BD202" s="9"/>
      <c r="BE202" s="9"/>
      <c r="BF202" s="9"/>
      <c r="BG202" s="9"/>
      <c r="BH202" s="9"/>
      <c r="BI202" s="9"/>
      <c r="BJ202" s="9"/>
      <c r="BK202" s="9"/>
      <c r="BL202" s="9"/>
      <c r="BM202" s="9"/>
      <c r="BN202" s="10">
        <f>SUM(T202:BM202)</f>
        <v>0</v>
      </c>
      <c r="BO202" s="9">
        <v>2030320</v>
      </c>
      <c r="BP202" s="9">
        <v>0</v>
      </c>
      <c r="BQ202" s="9">
        <v>2030320</v>
      </c>
      <c r="BR202" s="6">
        <f>IF(+R202-BN202+BP202&gt;0,R202-BN202+BP202,0)</f>
        <v>0</v>
      </c>
      <c r="BS202" s="9">
        <v>2030320</v>
      </c>
      <c r="BT202" s="9">
        <f>+BN202+BR202</f>
        <v>0</v>
      </c>
      <c r="BU202" s="9">
        <v>2030320</v>
      </c>
      <c r="BV202" s="6">
        <f>+R202-BT202</f>
        <v>0</v>
      </c>
      <c r="BW202" s="9"/>
      <c r="BX202"/>
      <c r="BY202"/>
      <c r="BZ202"/>
      <c r="CA202"/>
      <c r="CB202"/>
      <c r="CC202"/>
      <c r="CD202"/>
      <c r="CE202"/>
      <c r="CF202"/>
      <c r="CG202"/>
      <c r="CH202"/>
      <c r="CI202"/>
      <c r="CJ202"/>
      <c r="CK202"/>
      <c r="CL202"/>
      <c r="CM202"/>
      <c r="CN202"/>
      <c r="CO202"/>
      <c r="CP202"/>
      <c r="CQ202"/>
      <c r="CR202"/>
      <c r="CS202"/>
      <c r="CT202"/>
      <c r="CU202"/>
      <c r="CV202"/>
      <c r="CW202"/>
      <c r="CX202"/>
      <c r="CY202"/>
      <c r="CZ202"/>
      <c r="DA202"/>
      <c r="DB202"/>
      <c r="DC202"/>
      <c r="DD202"/>
      <c r="DE202"/>
      <c r="DF202"/>
      <c r="DG202"/>
      <c r="DH202"/>
      <c r="DI202"/>
      <c r="DJ202"/>
      <c r="DK202"/>
      <c r="DL202"/>
      <c r="DM202"/>
      <c r="DN202"/>
      <c r="DO202"/>
      <c r="DP202"/>
      <c r="DQ202"/>
      <c r="DR202"/>
      <c r="DS202"/>
      <c r="DT202"/>
    </row>
    <row r="203" spans="1:124" s="21" customFormat="1">
      <c r="A203" s="56"/>
      <c r="B203" s="31"/>
      <c r="J203" s="8"/>
      <c r="L203" s="141"/>
      <c r="M203" s="9"/>
      <c r="N203" s="10"/>
      <c r="O203" s="9"/>
      <c r="P203" s="10"/>
      <c r="Q203" s="9"/>
      <c r="R203" s="10"/>
      <c r="S203" s="9"/>
      <c r="T203" s="10"/>
      <c r="U203" s="9"/>
      <c r="V203" s="10"/>
      <c r="W203" s="9"/>
      <c r="X203" s="10"/>
      <c r="Y203" s="9"/>
      <c r="Z203" s="10"/>
      <c r="AA203" s="9"/>
      <c r="AB203" s="10"/>
      <c r="AC203" s="9"/>
      <c r="AD203" s="10"/>
      <c r="AE203" s="9"/>
      <c r="AF203" s="10"/>
      <c r="AG203" s="9"/>
      <c r="AH203" s="10"/>
      <c r="AI203" s="9"/>
      <c r="AJ203" s="10"/>
      <c r="AK203" s="9"/>
      <c r="AL203" s="10"/>
      <c r="AM203" s="9"/>
      <c r="AN203" s="10"/>
      <c r="AO203" s="9"/>
      <c r="AP203" s="10"/>
      <c r="AQ203" s="9"/>
      <c r="AR203" s="10"/>
      <c r="AS203" s="9"/>
      <c r="AT203" s="10"/>
      <c r="AU203" s="9"/>
      <c r="AV203" s="10"/>
      <c r="AW203" s="10"/>
      <c r="AX203" s="10"/>
      <c r="AY203" s="10"/>
      <c r="AZ203" s="10"/>
      <c r="BA203" s="10"/>
      <c r="BB203" s="10"/>
      <c r="BC203" s="10"/>
      <c r="BD203" s="10"/>
      <c r="BE203" s="10"/>
      <c r="BF203" s="10"/>
      <c r="BG203" s="10"/>
      <c r="BH203" s="10"/>
      <c r="BI203" s="10"/>
      <c r="BJ203" s="10"/>
      <c r="BK203" s="10"/>
      <c r="BL203" s="10"/>
      <c r="BM203" s="9"/>
      <c r="BN203" s="10"/>
      <c r="BO203" s="9"/>
      <c r="BP203" s="10"/>
      <c r="BQ203" s="9"/>
      <c r="BR203" s="10"/>
      <c r="BS203" s="9"/>
      <c r="BT203" s="10"/>
      <c r="BU203" s="9"/>
      <c r="BV203" s="10"/>
      <c r="BW203" s="9"/>
      <c r="BX203"/>
      <c r="BY203"/>
      <c r="BZ203"/>
      <c r="CA203"/>
      <c r="CB203"/>
      <c r="CC203"/>
      <c r="CD203"/>
      <c r="CE203"/>
      <c r="CF203"/>
      <c r="CG203"/>
      <c r="CH203"/>
      <c r="CI203"/>
      <c r="CJ203"/>
      <c r="CK203"/>
      <c r="CL203"/>
      <c r="CM203"/>
      <c r="CN203"/>
      <c r="CO203"/>
      <c r="CP203"/>
      <c r="CQ203"/>
      <c r="CR203"/>
      <c r="CS203"/>
      <c r="CT203"/>
      <c r="CU203"/>
      <c r="CV203"/>
      <c r="CW203"/>
      <c r="CX203"/>
      <c r="CY203"/>
      <c r="CZ203"/>
      <c r="DA203"/>
      <c r="DB203"/>
      <c r="DC203"/>
      <c r="DD203"/>
      <c r="DE203"/>
      <c r="DF203"/>
      <c r="DG203"/>
      <c r="DH203"/>
      <c r="DI203"/>
      <c r="DJ203"/>
      <c r="DK203"/>
      <c r="DL203"/>
      <c r="DM203"/>
      <c r="DN203"/>
      <c r="DO203"/>
      <c r="DP203"/>
      <c r="DQ203"/>
      <c r="DR203"/>
      <c r="DS203"/>
      <c r="DT203"/>
    </row>
    <row r="204" spans="1:124" s="21" customFormat="1">
      <c r="A204" s="56"/>
      <c r="B204" s="31"/>
      <c r="J204" s="8"/>
      <c r="L204" s="141"/>
      <c r="M204" s="9"/>
      <c r="N204" s="10"/>
      <c r="O204" s="9"/>
      <c r="P204" s="10"/>
      <c r="Q204" s="9"/>
      <c r="R204" s="10"/>
      <c r="S204" s="9"/>
      <c r="T204" s="10"/>
      <c r="U204" s="9"/>
      <c r="V204" s="10"/>
      <c r="W204" s="9"/>
      <c r="X204" s="10"/>
      <c r="Y204" s="9"/>
      <c r="Z204" s="10"/>
      <c r="AA204" s="9"/>
      <c r="AB204" s="10"/>
      <c r="AC204" s="9"/>
      <c r="AD204" s="10"/>
      <c r="AE204" s="9"/>
      <c r="AF204" s="10"/>
      <c r="AG204" s="9"/>
      <c r="AH204" s="10"/>
      <c r="AI204" s="9"/>
      <c r="AJ204" s="10"/>
      <c r="AK204" s="9"/>
      <c r="AL204" s="10"/>
      <c r="AM204" s="9"/>
      <c r="AN204" s="10"/>
      <c r="AO204" s="9"/>
      <c r="AP204" s="10"/>
      <c r="AQ204" s="9"/>
      <c r="AR204" s="10"/>
      <c r="AS204" s="9"/>
      <c r="AT204" s="10"/>
      <c r="AU204" s="9"/>
      <c r="AV204" s="10"/>
      <c r="AW204" s="10"/>
      <c r="AX204" s="10"/>
      <c r="AY204" s="10"/>
      <c r="AZ204" s="10"/>
      <c r="BA204" s="10"/>
      <c r="BB204" s="10"/>
      <c r="BC204" s="10"/>
      <c r="BD204" s="10"/>
      <c r="BE204" s="10"/>
      <c r="BF204" s="10"/>
      <c r="BG204" s="10"/>
      <c r="BH204" s="10"/>
      <c r="BI204" s="10"/>
      <c r="BJ204" s="10"/>
      <c r="BK204" s="10"/>
      <c r="BL204" s="10"/>
      <c r="BM204" s="9"/>
      <c r="BN204" s="10"/>
      <c r="BO204" s="9"/>
      <c r="BP204" s="10"/>
      <c r="BQ204" s="9"/>
      <c r="BR204" s="10"/>
      <c r="BS204" s="9"/>
      <c r="BT204" s="10"/>
      <c r="BU204" s="9"/>
      <c r="BV204" s="10"/>
      <c r="BW204" s="9"/>
      <c r="BX204"/>
      <c r="BY204"/>
      <c r="BZ204"/>
      <c r="CA204"/>
      <c r="CB204"/>
      <c r="CC204"/>
      <c r="CD204"/>
      <c r="CE204"/>
      <c r="CF204"/>
      <c r="CG204"/>
      <c r="CH204"/>
      <c r="CI204"/>
      <c r="CJ204"/>
      <c r="CK204"/>
      <c r="CL204"/>
      <c r="CM204"/>
      <c r="CN204"/>
      <c r="CO204"/>
      <c r="CP204"/>
      <c r="CQ204"/>
      <c r="CR204"/>
      <c r="CS204"/>
      <c r="CT204"/>
      <c r="CU204"/>
      <c r="CV204"/>
      <c r="CW204"/>
      <c r="CX204"/>
      <c r="CY204"/>
      <c r="CZ204"/>
      <c r="DA204"/>
      <c r="DB204"/>
      <c r="DC204"/>
      <c r="DD204"/>
      <c r="DE204"/>
      <c r="DF204"/>
      <c r="DG204"/>
      <c r="DH204"/>
      <c r="DI204"/>
      <c r="DJ204"/>
      <c r="DK204"/>
      <c r="DL204"/>
      <c r="DM204"/>
      <c r="DN204"/>
      <c r="DO204"/>
      <c r="DP204"/>
      <c r="DQ204"/>
      <c r="DR204"/>
      <c r="DS204"/>
      <c r="DT204"/>
    </row>
    <row r="205" spans="1:124" s="166" customFormat="1">
      <c r="A205" s="165" t="s">
        <v>253</v>
      </c>
      <c r="J205" s="167"/>
      <c r="L205" s="168"/>
      <c r="M205" s="169"/>
      <c r="N205" s="169"/>
      <c r="O205" s="169"/>
      <c r="P205" s="169"/>
      <c r="Q205" s="169"/>
      <c r="R205" s="164">
        <f>R202+R200+R80+R70+R37</f>
        <v>0</v>
      </c>
      <c r="S205" s="164">
        <f t="shared" ref="S205:BV205" si="36">S37+S80+S70+S170+S89+S200+S202</f>
        <v>0</v>
      </c>
      <c r="T205" s="164">
        <f t="shared" si="36"/>
        <v>30080814</v>
      </c>
      <c r="U205" s="164">
        <f t="shared" si="36"/>
        <v>0</v>
      </c>
      <c r="V205" s="164">
        <f t="shared" si="36"/>
        <v>44071359</v>
      </c>
      <c r="W205" s="164">
        <f t="shared" si="36"/>
        <v>0</v>
      </c>
      <c r="X205" s="164">
        <f t="shared" si="36"/>
        <v>3684291.61</v>
      </c>
      <c r="Y205" s="164">
        <f t="shared" si="36"/>
        <v>0</v>
      </c>
      <c r="Z205" s="164">
        <f t="shared" si="36"/>
        <v>475448.42</v>
      </c>
      <c r="AA205" s="164">
        <f t="shared" si="36"/>
        <v>0</v>
      </c>
      <c r="AB205" s="164">
        <f t="shared" si="36"/>
        <v>3575429.56</v>
      </c>
      <c r="AC205" s="164">
        <f t="shared" si="36"/>
        <v>0</v>
      </c>
      <c r="AD205" s="164">
        <f t="shared" si="36"/>
        <v>7136491.0300000003</v>
      </c>
      <c r="AE205" s="164">
        <f t="shared" si="36"/>
        <v>0</v>
      </c>
      <c r="AF205" s="164">
        <f t="shared" si="36"/>
        <v>666001.55496666674</v>
      </c>
      <c r="AG205" s="164"/>
      <c r="AH205" s="164">
        <f t="shared" si="36"/>
        <v>1386914.0565032915</v>
      </c>
      <c r="AI205" s="164"/>
      <c r="AJ205" s="164">
        <f t="shared" si="36"/>
        <v>2148326.5742301848</v>
      </c>
      <c r="AK205" s="164"/>
      <c r="AL205" s="164">
        <f t="shared" si="36"/>
        <v>-93106786.032366812</v>
      </c>
      <c r="AM205" s="164"/>
      <c r="AN205" s="164">
        <f t="shared" si="36"/>
        <v>692746.19</v>
      </c>
      <c r="AO205" s="164"/>
      <c r="AP205" s="164">
        <f t="shared" si="36"/>
        <v>323352.19</v>
      </c>
      <c r="AQ205" s="164"/>
      <c r="AR205" s="164">
        <f t="shared" si="36"/>
        <v>16697.29</v>
      </c>
      <c r="AS205" s="164"/>
      <c r="AT205" s="164">
        <f t="shared" si="36"/>
        <v>250000</v>
      </c>
      <c r="AU205" s="164">
        <f t="shared" si="36"/>
        <v>0</v>
      </c>
      <c r="AV205" s="164">
        <f t="shared" si="36"/>
        <v>0</v>
      </c>
      <c r="AW205" s="164">
        <f t="shared" si="36"/>
        <v>0</v>
      </c>
      <c r="AX205" s="164">
        <f t="shared" si="36"/>
        <v>0</v>
      </c>
      <c r="AY205" s="164">
        <f t="shared" si="36"/>
        <v>0</v>
      </c>
      <c r="AZ205" s="164">
        <f t="shared" si="36"/>
        <v>0</v>
      </c>
      <c r="BA205" s="164">
        <f t="shared" si="36"/>
        <v>0</v>
      </c>
      <c r="BB205" s="164">
        <f t="shared" si="36"/>
        <v>0</v>
      </c>
      <c r="BC205" s="164">
        <f t="shared" si="36"/>
        <v>0</v>
      </c>
      <c r="BD205" s="164">
        <f t="shared" si="36"/>
        <v>6000</v>
      </c>
      <c r="BE205" s="164">
        <f t="shared" si="36"/>
        <v>0</v>
      </c>
      <c r="BF205" s="164">
        <f t="shared" si="36"/>
        <v>0</v>
      </c>
      <c r="BG205" s="164">
        <f t="shared" si="36"/>
        <v>0</v>
      </c>
      <c r="BH205" s="164">
        <f t="shared" si="36"/>
        <v>0</v>
      </c>
      <c r="BI205" s="164">
        <f t="shared" si="36"/>
        <v>0</v>
      </c>
      <c r="BJ205" s="164">
        <f t="shared" si="36"/>
        <v>0</v>
      </c>
      <c r="BK205" s="164">
        <f t="shared" si="36"/>
        <v>0</v>
      </c>
      <c r="BL205" s="164">
        <f t="shared" si="36"/>
        <v>0</v>
      </c>
      <c r="BM205" s="164">
        <f t="shared" si="36"/>
        <v>0</v>
      </c>
      <c r="BN205" s="164">
        <f t="shared" si="36"/>
        <v>1407085.4433333327</v>
      </c>
      <c r="BO205" s="164">
        <f t="shared" si="36"/>
        <v>2030320</v>
      </c>
      <c r="BP205" s="164">
        <f t="shared" si="36"/>
        <v>0</v>
      </c>
      <c r="BQ205" s="164">
        <f t="shared" si="36"/>
        <v>2030320</v>
      </c>
      <c r="BR205" s="164">
        <f t="shared" si="36"/>
        <v>0.62000000059197191</v>
      </c>
      <c r="BS205" s="164">
        <f t="shared" si="36"/>
        <v>2030320</v>
      </c>
      <c r="BT205" s="164">
        <f t="shared" si="36"/>
        <v>1407086.0633333332</v>
      </c>
      <c r="BU205" s="164">
        <f t="shared" si="36"/>
        <v>2030320</v>
      </c>
      <c r="BV205" s="164">
        <f t="shared" si="36"/>
        <v>-1407086.0633333332</v>
      </c>
      <c r="BW205" s="169"/>
      <c r="BX205"/>
      <c r="BY205"/>
      <c r="BZ205"/>
      <c r="CA205"/>
      <c r="CB205"/>
      <c r="CC205"/>
      <c r="CD205"/>
      <c r="CE205"/>
      <c r="CF205"/>
      <c r="CG205"/>
      <c r="CH205"/>
      <c r="CI205"/>
      <c r="CJ205"/>
      <c r="CK205"/>
      <c r="CL205"/>
      <c r="CM205"/>
      <c r="CN205"/>
      <c r="CO205"/>
      <c r="CP205"/>
      <c r="CQ205"/>
      <c r="CR205"/>
      <c r="CS205"/>
      <c r="CT205"/>
      <c r="CU205"/>
      <c r="CV205"/>
      <c r="CW205"/>
      <c r="CX205"/>
      <c r="CY205"/>
      <c r="CZ205"/>
      <c r="DA205"/>
      <c r="DB205"/>
      <c r="DC205"/>
      <c r="DD205"/>
      <c r="DE205"/>
      <c r="DF205"/>
      <c r="DG205"/>
      <c r="DH205"/>
      <c r="DI205"/>
      <c r="DJ205"/>
      <c r="DK205"/>
      <c r="DL205"/>
      <c r="DM205"/>
      <c r="DN205"/>
      <c r="DO205"/>
      <c r="DP205"/>
      <c r="DQ205"/>
      <c r="DR205"/>
      <c r="DS205"/>
      <c r="DT205"/>
    </row>
    <row r="206" spans="1:124" s="21" customFormat="1">
      <c r="A206" s="56" t="s">
        <v>251</v>
      </c>
      <c r="B206" s="31"/>
      <c r="J206" s="8"/>
      <c r="L206" s="141"/>
      <c r="M206" s="9"/>
      <c r="N206" s="10"/>
      <c r="O206" s="9"/>
      <c r="P206" s="10"/>
      <c r="Q206" s="9"/>
      <c r="R206" s="10"/>
      <c r="S206" s="9"/>
      <c r="T206" s="10"/>
      <c r="U206" s="9"/>
      <c r="V206" s="10"/>
      <c r="W206" s="9"/>
      <c r="X206" s="10"/>
      <c r="Y206" s="9"/>
      <c r="Z206" s="10"/>
      <c r="AA206" s="9"/>
      <c r="AB206" s="10"/>
      <c r="AC206" s="9"/>
      <c r="AD206" s="10"/>
      <c r="AE206" s="9"/>
      <c r="AF206" s="10"/>
      <c r="AG206" s="9"/>
      <c r="AH206" s="10"/>
      <c r="AI206" s="9"/>
      <c r="AJ206" s="10"/>
      <c r="AK206" s="9"/>
      <c r="AL206" s="10"/>
      <c r="AM206" s="9"/>
      <c r="AN206" s="10"/>
      <c r="AO206" s="9"/>
      <c r="AP206" s="10"/>
      <c r="AQ206" s="9"/>
      <c r="AR206" s="10"/>
      <c r="AS206" s="9"/>
      <c r="AT206" s="10"/>
      <c r="AU206" s="9"/>
      <c r="AV206" s="10"/>
      <c r="AW206" s="10"/>
      <c r="AX206" s="10"/>
      <c r="AY206" s="10"/>
      <c r="AZ206" s="10"/>
      <c r="BA206" s="10"/>
      <c r="BB206" s="10"/>
      <c r="BC206" s="10"/>
      <c r="BD206" s="10"/>
      <c r="BE206" s="10"/>
      <c r="BF206" s="10"/>
      <c r="BG206" s="10"/>
      <c r="BH206" s="10"/>
      <c r="BI206" s="10"/>
      <c r="BJ206" s="10"/>
      <c r="BK206" s="10"/>
      <c r="BL206" s="10"/>
      <c r="BM206" s="9"/>
      <c r="BN206" s="10"/>
      <c r="BO206" s="9"/>
      <c r="BP206" s="10"/>
      <c r="BQ206" s="9"/>
      <c r="BR206" s="10"/>
      <c r="BS206" s="9"/>
      <c r="BT206" s="10">
        <f>BT205-'[1]Calvert City'!$X$64</f>
        <v>596051.19333333324</v>
      </c>
      <c r="BU206" s="9"/>
      <c r="BV206" s="10"/>
      <c r="BW206" s="9"/>
      <c r="BX206"/>
      <c r="BY206"/>
      <c r="BZ206"/>
      <c r="CA206"/>
      <c r="CB206"/>
      <c r="CC206"/>
      <c r="CD206"/>
      <c r="CE206"/>
      <c r="CF206"/>
      <c r="CG206"/>
      <c r="CH206"/>
      <c r="CI206"/>
      <c r="CJ206"/>
      <c r="CK206"/>
      <c r="CL206"/>
      <c r="CM206"/>
      <c r="CN206"/>
      <c r="CO206"/>
      <c r="CP206"/>
      <c r="CQ206"/>
      <c r="CR206"/>
      <c r="CS206"/>
      <c r="CT206"/>
      <c r="CU206"/>
      <c r="CV206"/>
      <c r="CW206"/>
      <c r="CX206"/>
      <c r="CY206"/>
      <c r="CZ206"/>
      <c r="DA206"/>
      <c r="DB206"/>
      <c r="DC206"/>
      <c r="DD206"/>
      <c r="DE206"/>
      <c r="DF206"/>
      <c r="DG206"/>
      <c r="DH206"/>
      <c r="DI206"/>
      <c r="DJ206"/>
      <c r="DK206"/>
      <c r="DL206"/>
      <c r="DM206"/>
      <c r="DN206"/>
      <c r="DO206"/>
      <c r="DP206"/>
      <c r="DQ206"/>
      <c r="DR206"/>
      <c r="DS206"/>
      <c r="DT206"/>
    </row>
    <row r="207" spans="1:124" s="21" customFormat="1">
      <c r="A207" s="56"/>
      <c r="B207" s="31"/>
      <c r="J207" s="8"/>
      <c r="L207" s="141"/>
      <c r="M207" s="9"/>
      <c r="N207" s="10"/>
      <c r="O207" s="9"/>
      <c r="P207" s="10"/>
      <c r="Q207" s="9"/>
      <c r="R207" s="10"/>
      <c r="S207" s="9"/>
      <c r="T207" s="10"/>
      <c r="U207" s="9"/>
      <c r="V207" s="10"/>
      <c r="W207" s="9"/>
      <c r="X207" s="10"/>
      <c r="Y207" s="9"/>
      <c r="Z207" s="10"/>
      <c r="AA207" s="9"/>
      <c r="AB207" s="10"/>
      <c r="AC207" s="9"/>
      <c r="AD207" s="10"/>
      <c r="AE207" s="9"/>
      <c r="AF207" s="10"/>
      <c r="AG207" s="9"/>
      <c r="AH207" s="10"/>
      <c r="AI207" s="9"/>
      <c r="AJ207" s="10"/>
      <c r="AK207" s="9"/>
      <c r="AL207" s="10"/>
      <c r="AM207" s="9"/>
      <c r="AN207" s="10"/>
      <c r="AO207" s="9"/>
      <c r="AP207" s="10"/>
      <c r="AQ207" s="9"/>
      <c r="AR207" s="10"/>
      <c r="AS207" s="9"/>
      <c r="AT207" s="10"/>
      <c r="AU207" s="9"/>
      <c r="AV207" s="10"/>
      <c r="AW207" s="10"/>
      <c r="AX207" s="10"/>
      <c r="AY207" s="10"/>
      <c r="AZ207" s="10"/>
      <c r="BA207" s="10"/>
      <c r="BB207" s="10"/>
      <c r="BC207" s="10"/>
      <c r="BD207" s="10"/>
      <c r="BE207" s="10"/>
      <c r="BF207" s="10"/>
      <c r="BG207" s="10"/>
      <c r="BH207" s="10"/>
      <c r="BI207" s="10"/>
      <c r="BJ207" s="10"/>
      <c r="BK207" s="10"/>
      <c r="BL207" s="10"/>
      <c r="BM207" s="9"/>
      <c r="BN207" s="10"/>
      <c r="BO207" s="9"/>
      <c r="BP207" s="10"/>
      <c r="BQ207" s="9"/>
      <c r="BR207" s="10"/>
      <c r="BS207" s="9"/>
      <c r="BT207" s="10"/>
      <c r="BU207" s="9"/>
      <c r="BV207" s="10"/>
      <c r="BW207" s="9"/>
      <c r="BX207"/>
      <c r="BY207"/>
      <c r="BZ207"/>
      <c r="CA207"/>
      <c r="CB207"/>
      <c r="CC207"/>
      <c r="CD207"/>
      <c r="CE207"/>
      <c r="CF207"/>
      <c r="CG207"/>
      <c r="CH207"/>
      <c r="CI207"/>
      <c r="CJ207"/>
      <c r="CK207"/>
      <c r="CL207"/>
      <c r="CM207"/>
      <c r="CN207"/>
      <c r="CO207"/>
      <c r="CP207"/>
      <c r="CQ207"/>
      <c r="CR207"/>
      <c r="CS207"/>
      <c r="CT207"/>
      <c r="CU207"/>
      <c r="CV207"/>
      <c r="CW207"/>
      <c r="CX207"/>
      <c r="CY207"/>
      <c r="CZ207"/>
      <c r="DA207"/>
      <c r="DB207"/>
      <c r="DC207"/>
      <c r="DD207"/>
      <c r="DE207"/>
      <c r="DF207"/>
      <c r="DG207"/>
      <c r="DH207"/>
      <c r="DI207"/>
      <c r="DJ207"/>
      <c r="DK207"/>
      <c r="DL207"/>
      <c r="DM207"/>
      <c r="DN207"/>
      <c r="DO207"/>
      <c r="DP207"/>
      <c r="DQ207"/>
      <c r="DR207"/>
      <c r="DS207"/>
      <c r="DT207"/>
    </row>
    <row r="208" spans="1:124" s="21" customFormat="1">
      <c r="A208" s="58" t="s">
        <v>219</v>
      </c>
      <c r="B208" s="31"/>
      <c r="J208" s="8"/>
      <c r="L208" s="141" t="s">
        <v>202</v>
      </c>
      <c r="M208" s="9"/>
      <c r="N208" s="9">
        <v>0</v>
      </c>
      <c r="O208" s="9"/>
      <c r="P208" s="9">
        <f>21557+23365.91</f>
        <v>44922.91</v>
      </c>
      <c r="Q208" s="9"/>
      <c r="R208" s="9">
        <v>0</v>
      </c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  <c r="AH208" s="9"/>
      <c r="AI208" s="9"/>
      <c r="AJ208" s="9"/>
      <c r="AK208" s="9"/>
      <c r="AL208" s="9"/>
      <c r="AM208" s="9"/>
      <c r="AN208" s="9"/>
      <c r="AO208" s="9"/>
      <c r="AP208" s="9"/>
      <c r="AQ208" s="9"/>
      <c r="AR208" s="9"/>
      <c r="AS208" s="9"/>
      <c r="AT208" s="9"/>
      <c r="AU208" s="9"/>
      <c r="AV208" s="9"/>
      <c r="AW208" s="9"/>
      <c r="AX208" s="9"/>
      <c r="AY208" s="9"/>
      <c r="AZ208" s="9"/>
      <c r="BA208" s="9"/>
      <c r="BB208" s="9"/>
      <c r="BC208" s="9"/>
      <c r="BD208" s="9"/>
      <c r="BE208" s="9"/>
      <c r="BF208" s="9"/>
      <c r="BG208" s="9"/>
      <c r="BH208" s="9"/>
      <c r="BI208" s="9"/>
      <c r="BJ208" s="9"/>
      <c r="BK208" s="9"/>
      <c r="BL208" s="9"/>
      <c r="BM208" s="9"/>
      <c r="BN208" s="10">
        <f>SUM(T208:BM208)</f>
        <v>0</v>
      </c>
      <c r="BO208" s="9"/>
      <c r="BP208" s="10">
        <v>0</v>
      </c>
      <c r="BQ208" s="10"/>
      <c r="BR208" s="10">
        <v>0</v>
      </c>
      <c r="BS208" s="10"/>
      <c r="BT208" s="9">
        <f>+BN208+BR208</f>
        <v>0</v>
      </c>
      <c r="BU208" s="10"/>
      <c r="BV208" s="9">
        <f>+R208-BT208</f>
        <v>0</v>
      </c>
      <c r="BW208" s="9"/>
      <c r="BX208"/>
      <c r="BY208"/>
      <c r="BZ208"/>
      <c r="CA208"/>
      <c r="CB208"/>
      <c r="CC208"/>
      <c r="CD208"/>
      <c r="CE208"/>
      <c r="CF208"/>
      <c r="CG208"/>
      <c r="CH208"/>
      <c r="CI208"/>
      <c r="CJ208"/>
      <c r="CK208"/>
      <c r="CL208"/>
      <c r="CM208"/>
      <c r="CN208"/>
      <c r="CO208"/>
      <c r="CP208"/>
      <c r="CQ208"/>
      <c r="CR208"/>
      <c r="CS208"/>
      <c r="CT208"/>
      <c r="CU208"/>
      <c r="CV208"/>
      <c r="CW208"/>
      <c r="CX208"/>
      <c r="CY208"/>
      <c r="CZ208"/>
      <c r="DA208"/>
      <c r="DB208"/>
      <c r="DC208"/>
      <c r="DD208"/>
      <c r="DE208"/>
      <c r="DF208"/>
      <c r="DG208"/>
      <c r="DH208"/>
      <c r="DI208"/>
      <c r="DJ208"/>
      <c r="DK208"/>
      <c r="DL208"/>
      <c r="DM208"/>
      <c r="DN208"/>
      <c r="DO208"/>
      <c r="DP208"/>
      <c r="DQ208"/>
      <c r="DR208"/>
      <c r="DS208"/>
      <c r="DT208"/>
    </row>
    <row r="209" spans="1:124" s="21" customFormat="1">
      <c r="A209" s="56"/>
      <c r="B209" s="31"/>
      <c r="J209" s="8"/>
      <c r="L209" s="141"/>
      <c r="M209" s="9"/>
      <c r="N209" s="10"/>
      <c r="O209" s="9"/>
      <c r="P209" s="10"/>
      <c r="Q209" s="9"/>
      <c r="R209" s="10"/>
      <c r="S209" s="9"/>
      <c r="T209" s="10"/>
      <c r="U209" s="9"/>
      <c r="V209" s="10"/>
      <c r="W209" s="9"/>
      <c r="X209" s="10"/>
      <c r="Y209" s="9"/>
      <c r="Z209" s="10"/>
      <c r="AA209" s="9"/>
      <c r="AB209" s="10"/>
      <c r="AC209" s="9"/>
      <c r="AD209" s="10"/>
      <c r="AE209" s="9"/>
      <c r="AF209" s="10"/>
      <c r="AG209" s="9"/>
      <c r="AH209" s="10"/>
      <c r="AI209" s="9"/>
      <c r="AJ209" s="10"/>
      <c r="AK209" s="9"/>
      <c r="AL209" s="10"/>
      <c r="AM209" s="9"/>
      <c r="AN209" s="10"/>
      <c r="AO209" s="9"/>
      <c r="AP209" s="10"/>
      <c r="AQ209" s="9"/>
      <c r="AR209" s="10"/>
      <c r="AS209" s="9"/>
      <c r="AT209" s="10"/>
      <c r="AU209" s="9"/>
      <c r="AV209" s="10"/>
      <c r="AW209" s="10"/>
      <c r="AX209" s="10"/>
      <c r="AY209" s="10"/>
      <c r="AZ209" s="10"/>
      <c r="BA209" s="10"/>
      <c r="BB209" s="10"/>
      <c r="BC209" s="10"/>
      <c r="BD209" s="10"/>
      <c r="BE209" s="10"/>
      <c r="BF209" s="10"/>
      <c r="BG209" s="10"/>
      <c r="BH209" s="10"/>
      <c r="BI209" s="10"/>
      <c r="BJ209" s="10"/>
      <c r="BK209" s="10"/>
      <c r="BL209" s="10"/>
      <c r="BM209" s="9"/>
      <c r="BN209" s="10"/>
      <c r="BO209" s="9"/>
      <c r="BP209" s="10"/>
      <c r="BQ209" s="9"/>
      <c r="BR209" s="10"/>
      <c r="BS209" s="9"/>
      <c r="BT209" s="10"/>
      <c r="BU209" s="9"/>
      <c r="BV209" s="10"/>
      <c r="BW209" s="9"/>
      <c r="BX209"/>
      <c r="BY209"/>
      <c r="BZ209"/>
      <c r="CA209"/>
      <c r="CB209"/>
      <c r="CC209"/>
      <c r="CD209"/>
      <c r="CE209"/>
      <c r="CF209"/>
      <c r="CG209"/>
      <c r="CH209"/>
      <c r="CI209"/>
      <c r="CJ209"/>
      <c r="CK209"/>
      <c r="CL209"/>
      <c r="CM209"/>
      <c r="CN209"/>
      <c r="CO209"/>
      <c r="CP209"/>
      <c r="CQ209"/>
      <c r="CR209"/>
      <c r="CS209"/>
      <c r="CT209"/>
      <c r="CU209"/>
      <c r="CV209"/>
      <c r="CW209"/>
      <c r="CX209"/>
      <c r="CY209"/>
      <c r="CZ209"/>
      <c r="DA209"/>
      <c r="DB209"/>
      <c r="DC209"/>
      <c r="DD209"/>
      <c r="DE209"/>
      <c r="DF209"/>
      <c r="DG209"/>
      <c r="DH209"/>
      <c r="DI209"/>
      <c r="DJ209"/>
      <c r="DK209"/>
      <c r="DL209"/>
      <c r="DM209"/>
      <c r="DN209"/>
      <c r="DO209"/>
      <c r="DP209"/>
      <c r="DQ209"/>
      <c r="DR209"/>
      <c r="DS209"/>
      <c r="DT209"/>
    </row>
    <row r="210" spans="1:124" s="21" customFormat="1">
      <c r="A210" s="56" t="s">
        <v>250</v>
      </c>
      <c r="B210" s="31"/>
      <c r="J210" s="8"/>
      <c r="L210" s="141"/>
      <c r="M210" s="9"/>
      <c r="N210" s="10"/>
      <c r="O210" s="9"/>
      <c r="P210" s="10"/>
      <c r="Q210" s="9"/>
      <c r="R210" s="10">
        <v>0</v>
      </c>
      <c r="S210" s="9"/>
      <c r="T210" s="10"/>
      <c r="U210" s="9"/>
      <c r="V210" s="10"/>
      <c r="W210" s="9"/>
      <c r="X210" s="10"/>
      <c r="Y210" s="9"/>
      <c r="Z210" s="10">
        <v>0</v>
      </c>
      <c r="AA210" s="9"/>
      <c r="AB210" s="10">
        <v>0</v>
      </c>
      <c r="AC210" s="9"/>
      <c r="AD210" s="10">
        <v>0</v>
      </c>
      <c r="AE210" s="9"/>
      <c r="AF210" s="10"/>
      <c r="AG210" s="9"/>
      <c r="AH210" s="10"/>
      <c r="AI210" s="9"/>
      <c r="AJ210" s="10"/>
      <c r="AK210" s="9"/>
      <c r="AL210" s="10"/>
      <c r="AM210" s="9"/>
      <c r="AN210" s="10"/>
      <c r="AO210" s="9"/>
      <c r="AP210" s="10"/>
      <c r="AQ210" s="9"/>
      <c r="AR210" s="10"/>
      <c r="AS210" s="9"/>
      <c r="AT210" s="10"/>
      <c r="AU210" s="9"/>
      <c r="AV210" s="10"/>
      <c r="AW210" s="10"/>
      <c r="AX210" s="10"/>
      <c r="AY210" s="10"/>
      <c r="AZ210" s="10"/>
      <c r="BA210" s="10"/>
      <c r="BB210" s="10"/>
      <c r="BC210" s="10"/>
      <c r="BD210" s="10"/>
      <c r="BE210" s="10"/>
      <c r="BF210" s="10"/>
      <c r="BG210" s="10"/>
      <c r="BH210" s="10"/>
      <c r="BI210" s="10"/>
      <c r="BJ210" s="10"/>
      <c r="BK210" s="10"/>
      <c r="BL210" s="10"/>
      <c r="BM210" s="9"/>
      <c r="BN210" s="10">
        <f>SUM(T210:BM210)</f>
        <v>0</v>
      </c>
      <c r="BO210" s="9"/>
      <c r="BP210" s="10">
        <v>0</v>
      </c>
      <c r="BQ210" s="9"/>
      <c r="BR210" s="10">
        <f>+R210-BN210+BP210</f>
        <v>0</v>
      </c>
      <c r="BS210" s="9"/>
      <c r="BT210" s="9">
        <f>+BN210+BR210</f>
        <v>0</v>
      </c>
      <c r="BU210" s="9"/>
      <c r="BV210" s="9">
        <f>+R210-BT210</f>
        <v>0</v>
      </c>
      <c r="BW210" s="9"/>
      <c r="BX210"/>
      <c r="BY210"/>
      <c r="BZ210"/>
      <c r="CA210"/>
      <c r="CB210"/>
      <c r="CC210"/>
      <c r="CD210"/>
      <c r="CE210"/>
      <c r="CF210"/>
      <c r="CG210"/>
      <c r="CH210"/>
      <c r="CI210"/>
      <c r="CJ210"/>
      <c r="CK210"/>
      <c r="CL210"/>
      <c r="CM210"/>
      <c r="CN210"/>
      <c r="CO210"/>
      <c r="CP210"/>
      <c r="CQ210"/>
      <c r="CR210"/>
      <c r="CS210"/>
      <c r="CT210"/>
      <c r="CU210"/>
      <c r="CV210"/>
      <c r="CW210"/>
      <c r="CX210"/>
      <c r="CY210"/>
      <c r="CZ210"/>
      <c r="DA210"/>
      <c r="DB210"/>
      <c r="DC210"/>
      <c r="DD210"/>
      <c r="DE210"/>
      <c r="DF210"/>
      <c r="DG210"/>
      <c r="DH210"/>
      <c r="DI210"/>
      <c r="DJ210"/>
      <c r="DK210"/>
      <c r="DL210"/>
      <c r="DM210"/>
      <c r="DN210"/>
      <c r="DO210"/>
      <c r="DP210"/>
      <c r="DQ210"/>
      <c r="DR210"/>
      <c r="DS210"/>
      <c r="DT210"/>
    </row>
    <row r="211" spans="1:124" s="21" customFormat="1">
      <c r="A211" s="56"/>
      <c r="B211" s="31"/>
      <c r="J211" s="8"/>
      <c r="L211" s="141"/>
      <c r="M211" s="9"/>
      <c r="N211" s="10"/>
      <c r="O211" s="9"/>
      <c r="P211" s="10"/>
      <c r="Q211" s="9"/>
      <c r="R211" s="10"/>
      <c r="S211" s="9"/>
      <c r="T211" s="10"/>
      <c r="U211" s="9"/>
      <c r="V211" s="10"/>
      <c r="W211" s="9"/>
      <c r="X211" s="10"/>
      <c r="Y211" s="9"/>
      <c r="Z211" s="10"/>
      <c r="AA211" s="9"/>
      <c r="AB211" s="10"/>
      <c r="AC211" s="9"/>
      <c r="AD211" s="10"/>
      <c r="AE211" s="9"/>
      <c r="AF211" s="10"/>
      <c r="AG211" s="9"/>
      <c r="AH211" s="10"/>
      <c r="AI211" s="9"/>
      <c r="AJ211" s="10"/>
      <c r="AK211" s="9"/>
      <c r="AL211" s="10"/>
      <c r="AM211" s="9"/>
      <c r="AN211" s="10"/>
      <c r="AO211" s="9"/>
      <c r="AP211" s="10"/>
      <c r="AQ211" s="9"/>
      <c r="AR211" s="10"/>
      <c r="AS211" s="9"/>
      <c r="AT211" s="10"/>
      <c r="AU211" s="9"/>
      <c r="AV211" s="10"/>
      <c r="AW211" s="10"/>
      <c r="AX211" s="10"/>
      <c r="AY211" s="10"/>
      <c r="AZ211" s="10"/>
      <c r="BA211" s="10"/>
      <c r="BB211" s="10"/>
      <c r="BC211" s="10"/>
      <c r="BD211" s="10"/>
      <c r="BE211" s="10"/>
      <c r="BF211" s="10"/>
      <c r="BG211" s="10"/>
      <c r="BH211" s="10"/>
      <c r="BI211" s="10"/>
      <c r="BJ211" s="10"/>
      <c r="BK211" s="10"/>
      <c r="BL211" s="10"/>
      <c r="BM211" s="9"/>
      <c r="BN211" s="10"/>
      <c r="BO211" s="9"/>
      <c r="BP211" s="10"/>
      <c r="BQ211" s="9"/>
      <c r="BR211" s="10"/>
      <c r="BS211" s="9"/>
      <c r="BT211" s="10"/>
      <c r="BU211" s="9"/>
      <c r="BV211" s="10"/>
      <c r="BW211" s="9"/>
      <c r="BX211"/>
      <c r="BY211"/>
      <c r="BZ211"/>
      <c r="CA211"/>
      <c r="CB211"/>
      <c r="CC211"/>
      <c r="CD211"/>
      <c r="CE211"/>
      <c r="CF211"/>
      <c r="CG211"/>
      <c r="CH211"/>
      <c r="CI211"/>
      <c r="CJ211"/>
      <c r="CK211"/>
      <c r="CL211"/>
      <c r="CM211"/>
      <c r="CN211"/>
      <c r="CO211"/>
      <c r="CP211"/>
      <c r="CQ211"/>
      <c r="CR211"/>
      <c r="CS211"/>
      <c r="CT211"/>
      <c r="CU211"/>
      <c r="CV211"/>
      <c r="CW211"/>
      <c r="CX211"/>
      <c r="CY211"/>
      <c r="CZ211"/>
      <c r="DA211"/>
      <c r="DB211"/>
      <c r="DC211"/>
      <c r="DD211"/>
      <c r="DE211"/>
      <c r="DF211"/>
      <c r="DG211"/>
      <c r="DH211"/>
      <c r="DI211"/>
      <c r="DJ211"/>
      <c r="DK211"/>
      <c r="DL211"/>
      <c r="DM211"/>
      <c r="DN211"/>
      <c r="DO211"/>
      <c r="DP211"/>
      <c r="DQ211"/>
      <c r="DR211"/>
      <c r="DS211"/>
      <c r="DT211"/>
    </row>
    <row r="212" spans="1:124" s="21" customFormat="1">
      <c r="A212" s="58" t="s">
        <v>330</v>
      </c>
      <c r="B212" s="31"/>
      <c r="J212" s="8"/>
      <c r="L212" s="141"/>
      <c r="M212" s="9"/>
      <c r="N212" s="10"/>
      <c r="O212" s="9"/>
      <c r="P212" s="10"/>
      <c r="Q212" s="9"/>
      <c r="R212" s="10"/>
      <c r="S212" s="9"/>
      <c r="T212" s="10"/>
      <c r="U212" s="9"/>
      <c r="V212" s="10"/>
      <c r="W212" s="9"/>
      <c r="X212" s="10"/>
      <c r="Y212" s="9"/>
      <c r="Z212" s="10"/>
      <c r="AA212" s="9"/>
      <c r="AB212" s="10"/>
      <c r="AC212" s="9"/>
      <c r="AD212" s="10">
        <v>100</v>
      </c>
      <c r="AE212" s="9"/>
      <c r="AF212" s="10"/>
      <c r="AG212" s="9"/>
      <c r="AH212" s="10"/>
      <c r="AI212" s="9"/>
      <c r="AJ212" s="10"/>
      <c r="AK212" s="9"/>
      <c r="AL212" s="10"/>
      <c r="AM212" s="9"/>
      <c r="AN212" s="10"/>
      <c r="AO212" s="9"/>
      <c r="AP212" s="10"/>
      <c r="AQ212" s="9"/>
      <c r="AR212" s="10"/>
      <c r="AS212" s="9"/>
      <c r="AT212" s="10"/>
      <c r="AU212" s="9"/>
      <c r="AV212" s="10"/>
      <c r="AW212" s="10"/>
      <c r="AX212" s="10"/>
      <c r="AY212" s="10"/>
      <c r="AZ212" s="10"/>
      <c r="BA212" s="10"/>
      <c r="BB212" s="10"/>
      <c r="BC212" s="10"/>
      <c r="BD212" s="10">
        <v>100</v>
      </c>
      <c r="BE212" s="10"/>
      <c r="BF212" s="10"/>
      <c r="BG212" s="10"/>
      <c r="BH212" s="10"/>
      <c r="BI212" s="10"/>
      <c r="BJ212" s="10"/>
      <c r="BK212" s="10"/>
      <c r="BL212" s="10"/>
      <c r="BM212" s="9"/>
      <c r="BN212" s="10">
        <f>SUM(T212:BM212)</f>
        <v>200</v>
      </c>
      <c r="BO212" s="9"/>
      <c r="BP212" s="10"/>
      <c r="BQ212" s="9"/>
      <c r="BR212" s="10"/>
      <c r="BS212" s="9"/>
      <c r="BT212" s="9">
        <f>+BN212+BR212</f>
        <v>200</v>
      </c>
      <c r="BU212" s="9"/>
      <c r="BV212" s="10"/>
      <c r="BW212" s="9"/>
      <c r="BX212"/>
      <c r="BY212"/>
      <c r="BZ212"/>
      <c r="CA212"/>
      <c r="CB212"/>
      <c r="CC212"/>
      <c r="CD212"/>
      <c r="CE212"/>
      <c r="CF212"/>
      <c r="CG212"/>
      <c r="CH212"/>
      <c r="CI212"/>
      <c r="CJ212"/>
      <c r="CK212"/>
      <c r="CL212"/>
      <c r="CM212"/>
      <c r="CN212"/>
      <c r="CO212"/>
      <c r="CP212"/>
      <c r="CQ212"/>
      <c r="CR212"/>
      <c r="CS212"/>
      <c r="CT212"/>
      <c r="CU212"/>
      <c r="CV212"/>
      <c r="CW212"/>
      <c r="CX212"/>
      <c r="CY212"/>
      <c r="CZ212"/>
      <c r="DA212"/>
      <c r="DB212"/>
      <c r="DC212"/>
      <c r="DD212"/>
      <c r="DE212"/>
      <c r="DF212"/>
      <c r="DG212"/>
      <c r="DH212"/>
      <c r="DI212"/>
      <c r="DJ212"/>
      <c r="DK212"/>
      <c r="DL212"/>
      <c r="DM212"/>
      <c r="DN212"/>
      <c r="DO212"/>
      <c r="DP212"/>
      <c r="DQ212"/>
      <c r="DR212"/>
      <c r="DS212"/>
      <c r="DT212"/>
    </row>
    <row r="213" spans="1:124" s="21" customFormat="1">
      <c r="A213" s="58"/>
      <c r="B213" s="31"/>
      <c r="J213" s="8"/>
      <c r="L213" s="141"/>
      <c r="M213" s="9"/>
      <c r="N213" s="10"/>
      <c r="O213" s="9"/>
      <c r="P213" s="10"/>
      <c r="Q213" s="9"/>
      <c r="R213" s="10"/>
      <c r="S213" s="9"/>
      <c r="T213" s="10"/>
      <c r="U213" s="9"/>
      <c r="V213" s="10"/>
      <c r="W213" s="9"/>
      <c r="X213" s="10"/>
      <c r="Y213" s="9"/>
      <c r="Z213" s="10"/>
      <c r="AA213" s="9"/>
      <c r="AB213" s="10"/>
      <c r="AC213" s="9"/>
      <c r="AD213" s="10"/>
      <c r="AE213" s="9"/>
      <c r="AF213" s="10"/>
      <c r="AG213" s="9"/>
      <c r="AH213" s="10"/>
      <c r="AI213" s="9"/>
      <c r="AJ213" s="10"/>
      <c r="AK213" s="9"/>
      <c r="AL213" s="10"/>
      <c r="AM213" s="9"/>
      <c r="AN213" s="10"/>
      <c r="AO213" s="9"/>
      <c r="AP213" s="10"/>
      <c r="AQ213" s="9"/>
      <c r="AR213" s="10"/>
      <c r="AS213" s="9"/>
      <c r="AT213" s="10"/>
      <c r="AU213" s="9"/>
      <c r="AV213" s="10"/>
      <c r="AW213" s="10"/>
      <c r="AX213" s="10"/>
      <c r="AY213" s="10"/>
      <c r="AZ213" s="10"/>
      <c r="BA213" s="10"/>
      <c r="BB213" s="10"/>
      <c r="BC213" s="10"/>
      <c r="BD213" s="10"/>
      <c r="BE213" s="10"/>
      <c r="BF213" s="10"/>
      <c r="BG213" s="10"/>
      <c r="BH213" s="10"/>
      <c r="BI213" s="10"/>
      <c r="BJ213" s="10"/>
      <c r="BK213" s="10"/>
      <c r="BL213" s="10"/>
      <c r="BM213" s="9"/>
      <c r="BN213" s="10"/>
      <c r="BO213" s="9"/>
      <c r="BP213" s="10"/>
      <c r="BQ213" s="9"/>
      <c r="BR213" s="10"/>
      <c r="BS213" s="9"/>
      <c r="BT213" s="10"/>
      <c r="BU213" s="9"/>
      <c r="BV213" s="10"/>
      <c r="BW213" s="9"/>
      <c r="BX213"/>
      <c r="BY213"/>
      <c r="BZ213"/>
      <c r="CA213"/>
      <c r="CB213"/>
      <c r="CC213"/>
      <c r="CD213"/>
      <c r="CE213"/>
      <c r="CF213"/>
      <c r="CG213"/>
      <c r="CH213"/>
      <c r="CI213"/>
      <c r="CJ213"/>
      <c r="CK213"/>
      <c r="CL213"/>
      <c r="CM213"/>
      <c r="CN213"/>
      <c r="CO213"/>
      <c r="CP213"/>
      <c r="CQ213"/>
      <c r="CR213"/>
      <c r="CS213"/>
      <c r="CT213"/>
      <c r="CU213"/>
      <c r="CV213"/>
      <c r="CW213"/>
      <c r="CX213"/>
      <c r="CY213"/>
      <c r="CZ213"/>
      <c r="DA213"/>
      <c r="DB213"/>
      <c r="DC213"/>
      <c r="DD213"/>
      <c r="DE213"/>
      <c r="DF213"/>
      <c r="DG213"/>
      <c r="DH213"/>
      <c r="DI213"/>
      <c r="DJ213"/>
      <c r="DK213"/>
      <c r="DL213"/>
      <c r="DM213"/>
      <c r="DN213"/>
      <c r="DO213"/>
      <c r="DP213"/>
      <c r="DQ213"/>
      <c r="DR213"/>
      <c r="DS213"/>
      <c r="DT213"/>
    </row>
    <row r="214" spans="1:124" s="21" customFormat="1">
      <c r="A214" s="58" t="s">
        <v>266</v>
      </c>
      <c r="B214" s="31"/>
      <c r="J214" s="8"/>
      <c r="L214" s="141"/>
      <c r="M214" s="9"/>
      <c r="N214" s="10"/>
      <c r="O214" s="9"/>
      <c r="P214" s="10"/>
      <c r="Q214" s="9"/>
      <c r="R214" s="10">
        <v>0</v>
      </c>
      <c r="S214" s="9"/>
      <c r="T214" s="10"/>
      <c r="U214" s="9"/>
      <c r="V214" s="10"/>
      <c r="W214" s="9"/>
      <c r="X214" s="10"/>
      <c r="Y214" s="9"/>
      <c r="Z214" s="10"/>
      <c r="AA214" s="9"/>
      <c r="AB214" s="10">
        <v>-82061</v>
      </c>
      <c r="AC214" s="9"/>
      <c r="AD214" s="10">
        <f>-1928-35</f>
        <v>-1963</v>
      </c>
      <c r="AE214" s="9"/>
      <c r="AF214" s="10">
        <v>-32859</v>
      </c>
      <c r="AG214" s="9"/>
      <c r="AH214" s="10">
        <f>-22657</f>
        <v>-22657</v>
      </c>
      <c r="AI214" s="9"/>
      <c r="AJ214" s="10"/>
      <c r="AK214" s="9"/>
      <c r="AL214" s="10"/>
      <c r="AM214" s="9"/>
      <c r="AN214" s="10">
        <v>-144358</v>
      </c>
      <c r="AO214" s="9"/>
      <c r="AP214" s="10">
        <f>-13821</f>
        <v>-13821</v>
      </c>
      <c r="AQ214" s="9"/>
      <c r="AR214" s="10">
        <f>-99387+35</f>
        <v>-99352</v>
      </c>
      <c r="AS214" s="9"/>
      <c r="AT214" s="10">
        <v>-91244</v>
      </c>
      <c r="AU214" s="9"/>
      <c r="AV214" s="10"/>
      <c r="AW214" s="10"/>
      <c r="AX214" s="10"/>
      <c r="AY214" s="10"/>
      <c r="AZ214" s="10"/>
      <c r="BA214" s="10"/>
      <c r="BB214" s="10"/>
      <c r="BC214" s="10"/>
      <c r="BD214" s="10"/>
      <c r="BE214" s="10"/>
      <c r="BF214" s="10"/>
      <c r="BG214" s="10"/>
      <c r="BH214" s="10"/>
      <c r="BI214" s="10"/>
      <c r="BJ214" s="10"/>
      <c r="BK214" s="10"/>
      <c r="BL214" s="10"/>
      <c r="BM214" s="9"/>
      <c r="BN214" s="10">
        <f>SUM(T214:BM214)</f>
        <v>-488315</v>
      </c>
      <c r="BO214" s="9"/>
      <c r="BP214" s="10"/>
      <c r="BQ214" s="9"/>
      <c r="BR214" s="10">
        <v>0</v>
      </c>
      <c r="BS214" s="9"/>
      <c r="BT214" s="9">
        <f>+BN214+BR214</f>
        <v>-488315</v>
      </c>
      <c r="BU214" s="9"/>
      <c r="BV214" s="9">
        <f>+R214-BT214</f>
        <v>488315</v>
      </c>
      <c r="BW214" s="9"/>
      <c r="BX214"/>
      <c r="BY214"/>
      <c r="BZ214"/>
      <c r="CA214"/>
      <c r="CB214"/>
      <c r="CC214"/>
      <c r="CD214"/>
      <c r="CE214"/>
      <c r="CF214"/>
      <c r="CG214"/>
      <c r="CH214"/>
      <c r="CI214"/>
      <c r="CJ214"/>
      <c r="CK214"/>
      <c r="CL214"/>
      <c r="CM214"/>
      <c r="CN214"/>
      <c r="CO214"/>
      <c r="CP214"/>
      <c r="CQ214"/>
      <c r="CR214"/>
      <c r="CS214"/>
      <c r="CT214"/>
      <c r="CU214"/>
      <c r="CV214"/>
      <c r="CW214"/>
      <c r="CX214"/>
      <c r="CY214"/>
      <c r="CZ214"/>
      <c r="DA214"/>
      <c r="DB214"/>
      <c r="DC214"/>
      <c r="DD214"/>
      <c r="DE214"/>
      <c r="DF214"/>
      <c r="DG214"/>
      <c r="DH214"/>
      <c r="DI214"/>
      <c r="DJ214"/>
      <c r="DK214"/>
      <c r="DL214"/>
      <c r="DM214"/>
      <c r="DN214"/>
      <c r="DO214"/>
      <c r="DP214"/>
      <c r="DQ214"/>
      <c r="DR214"/>
      <c r="DS214"/>
      <c r="DT214"/>
    </row>
    <row r="215" spans="1:124" s="21" customFormat="1">
      <c r="A215" s="58"/>
      <c r="B215" s="31"/>
      <c r="J215" s="8"/>
      <c r="L215" s="141"/>
      <c r="M215" s="9"/>
      <c r="N215" s="10"/>
      <c r="O215" s="9"/>
      <c r="P215" s="10"/>
      <c r="Q215" s="9"/>
      <c r="R215" s="10"/>
      <c r="S215" s="9"/>
      <c r="T215" s="10"/>
      <c r="U215" s="9"/>
      <c r="V215" s="10"/>
      <c r="W215" s="9"/>
      <c r="X215" s="10"/>
      <c r="Y215" s="9"/>
      <c r="Z215" s="10"/>
      <c r="AA215" s="9"/>
      <c r="AB215" s="10"/>
      <c r="AC215" s="9"/>
      <c r="AD215" s="10"/>
      <c r="AE215" s="9"/>
      <c r="AF215" s="10"/>
      <c r="AG215" s="9"/>
      <c r="AH215" s="10"/>
      <c r="AI215" s="9"/>
      <c r="AJ215" s="10"/>
      <c r="AK215" s="9"/>
      <c r="AL215" s="10"/>
      <c r="AM215" s="9"/>
      <c r="AN215" s="10"/>
      <c r="AO215" s="9"/>
      <c r="AP215" s="10"/>
      <c r="AQ215" s="9"/>
      <c r="AR215" s="10"/>
      <c r="AS215" s="9"/>
      <c r="AT215" s="10"/>
      <c r="AU215" s="9"/>
      <c r="AV215" s="10"/>
      <c r="AW215" s="10"/>
      <c r="AX215" s="10"/>
      <c r="AY215" s="10"/>
      <c r="AZ215" s="10"/>
      <c r="BA215" s="10"/>
      <c r="BB215" s="10"/>
      <c r="BC215" s="10"/>
      <c r="BD215" s="10"/>
      <c r="BE215" s="10"/>
      <c r="BF215" s="10"/>
      <c r="BG215" s="10"/>
      <c r="BH215" s="10"/>
      <c r="BI215" s="10"/>
      <c r="BJ215" s="10"/>
      <c r="BK215" s="10"/>
      <c r="BL215" s="10"/>
      <c r="BM215" s="9"/>
      <c r="BN215" s="10"/>
      <c r="BO215" s="9"/>
      <c r="BP215" s="10"/>
      <c r="BQ215" s="9"/>
      <c r="BR215" s="10"/>
      <c r="BS215" s="9"/>
      <c r="BT215" s="10"/>
      <c r="BU215" s="9"/>
      <c r="BV215" s="10"/>
      <c r="BW215" s="9"/>
      <c r="BX215"/>
      <c r="BY215"/>
      <c r="BZ215"/>
      <c r="CA215"/>
      <c r="CB215"/>
      <c r="CC215"/>
      <c r="CD215"/>
      <c r="CE215"/>
      <c r="CF215"/>
      <c r="CG215"/>
      <c r="CH215"/>
      <c r="CI215"/>
      <c r="CJ215"/>
      <c r="CK215"/>
      <c r="CL215"/>
      <c r="CM215"/>
      <c r="CN215"/>
      <c r="CO215"/>
      <c r="CP215"/>
      <c r="CQ215"/>
      <c r="CR215"/>
      <c r="CS215"/>
      <c r="CT215"/>
      <c r="CU215"/>
      <c r="CV215"/>
      <c r="CW215"/>
      <c r="CX215"/>
      <c r="CY215"/>
      <c r="CZ215"/>
      <c r="DA215"/>
      <c r="DB215"/>
      <c r="DC215"/>
      <c r="DD215"/>
      <c r="DE215"/>
      <c r="DF215"/>
      <c r="DG215"/>
      <c r="DH215"/>
      <c r="DI215"/>
      <c r="DJ215"/>
      <c r="DK215"/>
      <c r="DL215"/>
      <c r="DM215"/>
      <c r="DN215"/>
      <c r="DO215"/>
      <c r="DP215"/>
      <c r="DQ215"/>
      <c r="DR215"/>
      <c r="DS215"/>
      <c r="DT215"/>
    </row>
    <row r="216" spans="1:124" s="105" customFormat="1" ht="13.5" thickBot="1">
      <c r="A216" s="63" t="s">
        <v>252</v>
      </c>
      <c r="B216" s="54"/>
      <c r="J216" s="155"/>
      <c r="L216" s="142"/>
      <c r="M216" s="13"/>
      <c r="N216" s="120"/>
      <c r="O216" s="13"/>
      <c r="P216" s="120"/>
      <c r="Q216" s="13"/>
      <c r="R216" s="121">
        <f t="shared" ref="R216:AC216" si="37">R205+R208+R210+R214</f>
        <v>0</v>
      </c>
      <c r="S216" s="121">
        <f t="shared" si="37"/>
        <v>0</v>
      </c>
      <c r="T216" s="121">
        <f t="shared" si="37"/>
        <v>30080814</v>
      </c>
      <c r="U216" s="121">
        <f t="shared" si="37"/>
        <v>0</v>
      </c>
      <c r="V216" s="121">
        <f t="shared" si="37"/>
        <v>44071359</v>
      </c>
      <c r="W216" s="121">
        <f t="shared" si="37"/>
        <v>0</v>
      </c>
      <c r="X216" s="121">
        <f t="shared" si="37"/>
        <v>3684291.61</v>
      </c>
      <c r="Y216" s="121">
        <f t="shared" si="37"/>
        <v>0</v>
      </c>
      <c r="Z216" s="121">
        <f t="shared" si="37"/>
        <v>475448.42</v>
      </c>
      <c r="AA216" s="121">
        <f t="shared" si="37"/>
        <v>0</v>
      </c>
      <c r="AB216" s="121">
        <f t="shared" si="37"/>
        <v>3493368.56</v>
      </c>
      <c r="AC216" s="121">
        <f t="shared" si="37"/>
        <v>0</v>
      </c>
      <c r="AD216" s="121">
        <f>AD205+AD208+AD210+AD214+AD212</f>
        <v>7134628.0300000003</v>
      </c>
      <c r="AE216" s="121">
        <f>AE205+AE208+AE210+AE214</f>
        <v>0</v>
      </c>
      <c r="AF216" s="121">
        <f t="shared" ref="AF216:BN216" si="38">AF205+AF208+AF210+AF214+AF212</f>
        <v>633142.55496666674</v>
      </c>
      <c r="AG216" s="121"/>
      <c r="AH216" s="121">
        <f t="shared" si="38"/>
        <v>1364257.0565032915</v>
      </c>
      <c r="AI216" s="121"/>
      <c r="AJ216" s="121">
        <f t="shared" si="38"/>
        <v>2148326.5742301848</v>
      </c>
      <c r="AK216" s="121"/>
      <c r="AL216" s="121">
        <f t="shared" si="38"/>
        <v>-93106786.032366812</v>
      </c>
      <c r="AM216" s="121"/>
      <c r="AN216" s="121">
        <f t="shared" si="38"/>
        <v>548388.18999999994</v>
      </c>
      <c r="AO216" s="121"/>
      <c r="AP216" s="121">
        <f t="shared" si="38"/>
        <v>309531.19</v>
      </c>
      <c r="AQ216" s="121"/>
      <c r="AR216" s="121">
        <f t="shared" si="38"/>
        <v>-82654.709999999992</v>
      </c>
      <c r="AS216" s="121"/>
      <c r="AT216" s="121">
        <f t="shared" si="38"/>
        <v>158756</v>
      </c>
      <c r="AU216" s="121">
        <f t="shared" si="38"/>
        <v>0</v>
      </c>
      <c r="AV216" s="121">
        <f t="shared" si="38"/>
        <v>0</v>
      </c>
      <c r="AW216" s="121">
        <f t="shared" si="38"/>
        <v>0</v>
      </c>
      <c r="AX216" s="121">
        <f t="shared" si="38"/>
        <v>0</v>
      </c>
      <c r="AY216" s="121">
        <f t="shared" si="38"/>
        <v>0</v>
      </c>
      <c r="AZ216" s="121">
        <f t="shared" si="38"/>
        <v>0</v>
      </c>
      <c r="BA216" s="121">
        <f t="shared" si="38"/>
        <v>0</v>
      </c>
      <c r="BB216" s="121">
        <f t="shared" si="38"/>
        <v>0</v>
      </c>
      <c r="BC216" s="121">
        <f t="shared" si="38"/>
        <v>0</v>
      </c>
      <c r="BD216" s="121">
        <f t="shared" si="38"/>
        <v>6100</v>
      </c>
      <c r="BE216" s="121">
        <f t="shared" si="38"/>
        <v>0</v>
      </c>
      <c r="BF216" s="121">
        <f t="shared" si="38"/>
        <v>0</v>
      </c>
      <c r="BG216" s="121">
        <f t="shared" si="38"/>
        <v>0</v>
      </c>
      <c r="BH216" s="121">
        <f t="shared" si="38"/>
        <v>0</v>
      </c>
      <c r="BI216" s="121">
        <f t="shared" si="38"/>
        <v>0</v>
      </c>
      <c r="BJ216" s="121">
        <f t="shared" si="38"/>
        <v>0</v>
      </c>
      <c r="BK216" s="121">
        <f t="shared" si="38"/>
        <v>0</v>
      </c>
      <c r="BL216" s="121">
        <f t="shared" si="38"/>
        <v>0</v>
      </c>
      <c r="BM216" s="121">
        <f t="shared" si="38"/>
        <v>0</v>
      </c>
      <c r="BN216" s="121">
        <f t="shared" si="38"/>
        <v>918970.44333333266</v>
      </c>
      <c r="BO216" s="121">
        <f t="shared" ref="BO216:BW216" si="39">BO205+BO208+BO210+BO214</f>
        <v>2030320</v>
      </c>
      <c r="BP216" s="121">
        <f t="shared" si="39"/>
        <v>0</v>
      </c>
      <c r="BQ216" s="121">
        <f t="shared" si="39"/>
        <v>2030320</v>
      </c>
      <c r="BR216" s="121">
        <f t="shared" si="39"/>
        <v>0.62000000059197191</v>
      </c>
      <c r="BS216" s="121">
        <f t="shared" si="39"/>
        <v>2030320</v>
      </c>
      <c r="BT216" s="121">
        <f>BT205+BT208+BT210+BT214+BT212</f>
        <v>918971.06333333324</v>
      </c>
      <c r="BU216" s="121">
        <f t="shared" si="39"/>
        <v>2030320</v>
      </c>
      <c r="BV216" s="121">
        <f t="shared" si="39"/>
        <v>-918771.06333333324</v>
      </c>
      <c r="BW216" s="120">
        <f t="shared" si="39"/>
        <v>0</v>
      </c>
      <c r="BX216" s="119"/>
      <c r="BY216" s="119"/>
      <c r="BZ216" s="119"/>
      <c r="CA216" s="119"/>
      <c r="CB216" s="119"/>
      <c r="CC216" s="119"/>
      <c r="CD216" s="119"/>
      <c r="CE216" s="119"/>
      <c r="CF216" s="119"/>
      <c r="CG216" s="119"/>
      <c r="CH216" s="119"/>
      <c r="CI216" s="119"/>
      <c r="CJ216" s="119"/>
      <c r="CK216" s="119"/>
      <c r="CL216" s="119"/>
      <c r="CM216" s="119"/>
      <c r="CN216" s="119"/>
      <c r="CO216" s="119"/>
      <c r="CP216" s="119"/>
      <c r="CQ216" s="119"/>
      <c r="CR216" s="119"/>
      <c r="CS216" s="119"/>
      <c r="CT216" s="119"/>
      <c r="CU216" s="119"/>
      <c r="CV216" s="119"/>
      <c r="CW216" s="119"/>
      <c r="CX216" s="119"/>
      <c r="CY216" s="119"/>
      <c r="CZ216" s="119"/>
      <c r="DA216" s="119"/>
      <c r="DB216" s="119"/>
      <c r="DC216" s="119"/>
      <c r="DD216" s="119"/>
      <c r="DE216" s="119"/>
      <c r="DF216" s="119"/>
      <c r="DG216" s="119"/>
      <c r="DH216" s="119"/>
      <c r="DI216" s="119"/>
      <c r="DJ216" s="119"/>
      <c r="DK216" s="119"/>
      <c r="DL216" s="119"/>
      <c r="DM216" s="119"/>
      <c r="DN216" s="119"/>
      <c r="DO216" s="119"/>
      <c r="DP216" s="119"/>
      <c r="DQ216" s="119"/>
      <c r="DR216" s="119"/>
      <c r="DS216" s="119"/>
      <c r="DT216" s="119"/>
    </row>
    <row r="217" spans="1:124" s="21" customFormat="1" ht="13.5" thickTop="1">
      <c r="A217" s="58"/>
      <c r="B217" s="31"/>
      <c r="J217" s="8"/>
      <c r="L217" s="141"/>
      <c r="M217" s="9"/>
      <c r="N217" s="10"/>
      <c r="O217" s="9"/>
      <c r="P217" s="10"/>
      <c r="Q217" s="9"/>
      <c r="R217" s="10"/>
      <c r="S217" s="9"/>
      <c r="T217" s="10"/>
      <c r="U217" s="9"/>
      <c r="V217" s="10"/>
      <c r="W217" s="9"/>
      <c r="X217" s="10"/>
      <c r="Y217" s="9"/>
      <c r="Z217" s="10"/>
      <c r="AA217" s="9"/>
      <c r="AB217" s="10"/>
      <c r="AC217" s="9"/>
      <c r="AD217" s="10"/>
      <c r="AE217" s="9"/>
      <c r="AF217" s="10"/>
      <c r="AG217" s="9"/>
      <c r="AH217" s="10"/>
      <c r="AI217" s="9"/>
      <c r="AJ217" s="10"/>
      <c r="AK217" s="9"/>
      <c r="AL217" s="10"/>
      <c r="AM217" s="9"/>
      <c r="AN217" s="10"/>
      <c r="AO217" s="9"/>
      <c r="AP217" s="10"/>
      <c r="AQ217" s="9"/>
      <c r="AR217" s="10"/>
      <c r="AS217" s="9"/>
      <c r="AT217" s="10"/>
      <c r="AU217" s="9"/>
      <c r="AV217" s="10"/>
      <c r="AW217" s="10"/>
      <c r="AX217" s="10"/>
      <c r="AY217" s="10"/>
      <c r="AZ217" s="10"/>
      <c r="BA217" s="10"/>
      <c r="BB217" s="10"/>
      <c r="BC217" s="10"/>
      <c r="BD217" s="10"/>
      <c r="BE217" s="10"/>
      <c r="BF217" s="10"/>
      <c r="BG217" s="10"/>
      <c r="BH217" s="10"/>
      <c r="BI217" s="10"/>
      <c r="BJ217" s="10"/>
      <c r="BK217" s="10"/>
      <c r="BL217" s="10"/>
      <c r="BM217" s="9"/>
      <c r="BN217" s="10"/>
      <c r="BO217" s="9"/>
      <c r="BP217" s="10"/>
      <c r="BQ217" s="9"/>
      <c r="BR217" s="10"/>
      <c r="BS217" s="9"/>
      <c r="BT217" s="10"/>
      <c r="BU217" s="9"/>
      <c r="BV217" s="10"/>
      <c r="BW217" s="9"/>
      <c r="BX217"/>
      <c r="BY217"/>
      <c r="BZ217"/>
      <c r="CA217"/>
      <c r="CB217"/>
      <c r="CC217"/>
      <c r="CD217"/>
      <c r="CE217"/>
      <c r="CF217"/>
      <c r="CG217"/>
      <c r="CH217"/>
      <c r="CI217"/>
      <c r="CJ217"/>
      <c r="CK217"/>
      <c r="CL217"/>
      <c r="CM217"/>
      <c r="CN217"/>
      <c r="CO217"/>
      <c r="CP217"/>
      <c r="CQ217"/>
      <c r="CR217"/>
      <c r="CS217"/>
      <c r="CT217"/>
      <c r="CU217"/>
      <c r="CV217"/>
      <c r="CW217"/>
      <c r="CX217"/>
      <c r="CY217"/>
      <c r="CZ217"/>
      <c r="DA217"/>
      <c r="DB217"/>
      <c r="DC217"/>
      <c r="DD217"/>
      <c r="DE217"/>
      <c r="DF217"/>
      <c r="DG217"/>
      <c r="DH217"/>
      <c r="DI217"/>
      <c r="DJ217"/>
      <c r="DK217"/>
      <c r="DL217"/>
      <c r="DM217"/>
      <c r="DN217"/>
      <c r="DO217"/>
      <c r="DP217"/>
      <c r="DQ217"/>
      <c r="DR217"/>
      <c r="DS217"/>
      <c r="DT217"/>
    </row>
    <row r="218" spans="1:124">
      <c r="C218"/>
      <c r="D218"/>
      <c r="E218"/>
      <c r="F218"/>
      <c r="G218"/>
      <c r="H218"/>
      <c r="I218"/>
      <c r="J218" s="49"/>
      <c r="K218"/>
      <c r="L218" s="132"/>
      <c r="M218" s="6"/>
      <c r="O218" s="6"/>
      <c r="Q218" s="6"/>
      <c r="S218" s="6"/>
      <c r="T218" s="6"/>
      <c r="U218" s="6"/>
      <c r="V218" s="6"/>
      <c r="X218" s="6"/>
      <c r="Z218" s="6"/>
      <c r="AB218" s="6"/>
      <c r="AD218" s="6"/>
      <c r="BL218" s="6"/>
      <c r="BM218" s="6"/>
      <c r="BO218" s="6"/>
      <c r="BP218" s="6"/>
      <c r="BQ218" s="6"/>
      <c r="BW218" s="6"/>
      <c r="BX218"/>
      <c r="BY218"/>
      <c r="BZ218"/>
      <c r="CA218"/>
      <c r="CB218"/>
      <c r="CC218"/>
      <c r="CD218"/>
      <c r="CE218"/>
      <c r="CF218"/>
      <c r="CG218"/>
      <c r="CH218"/>
      <c r="CI218"/>
      <c r="CJ218"/>
      <c r="CK218"/>
      <c r="CL218"/>
      <c r="CM218"/>
      <c r="CN218"/>
      <c r="CO218"/>
      <c r="CP218"/>
      <c r="CQ218"/>
      <c r="CR218"/>
      <c r="CS218"/>
      <c r="CT218"/>
      <c r="CU218"/>
      <c r="CV218"/>
      <c r="CW218"/>
      <c r="CX218"/>
      <c r="CY218"/>
      <c r="CZ218"/>
      <c r="DA218"/>
      <c r="DB218"/>
      <c r="DC218"/>
      <c r="DD218"/>
      <c r="DE218"/>
      <c r="DF218"/>
      <c r="DG218"/>
      <c r="DH218"/>
      <c r="DI218"/>
      <c r="DJ218"/>
      <c r="DK218"/>
      <c r="DL218"/>
      <c r="DM218"/>
      <c r="DN218"/>
      <c r="DO218"/>
      <c r="DP218"/>
      <c r="DQ218"/>
      <c r="DR218"/>
      <c r="DS218"/>
      <c r="DT218"/>
    </row>
    <row r="219" spans="1:124" customFormat="1"/>
    <row r="220" spans="1:124">
      <c r="C220"/>
      <c r="D220"/>
      <c r="E220"/>
      <c r="F220"/>
      <c r="G220"/>
      <c r="H220"/>
      <c r="I220"/>
      <c r="J220" s="49"/>
      <c r="K220"/>
      <c r="L220" s="132"/>
      <c r="M220" s="6"/>
      <c r="O220" s="6"/>
      <c r="Q220" s="6"/>
      <c r="S220" s="6"/>
      <c r="T220" s="22"/>
      <c r="U220" s="6"/>
      <c r="V220" s="22"/>
      <c r="X220" s="22"/>
      <c r="Z220" s="22"/>
      <c r="AB220" s="22"/>
      <c r="AD220" s="22"/>
      <c r="AF220" s="22"/>
      <c r="AH220" s="22"/>
      <c r="AJ220" s="22"/>
      <c r="AL220" s="22"/>
      <c r="AN220" s="22"/>
      <c r="AP220" s="22"/>
      <c r="AR220" s="22"/>
      <c r="AT220" s="22"/>
      <c r="AV220" s="22"/>
      <c r="AW220" s="22"/>
      <c r="AX220" s="22"/>
      <c r="AY220" s="22"/>
      <c r="AZ220" s="22"/>
      <c r="BA220" s="22"/>
      <c r="BB220" s="22"/>
      <c r="BC220" s="22"/>
      <c r="BD220" s="22"/>
      <c r="BE220" s="22"/>
      <c r="BF220" s="22"/>
      <c r="BG220" s="22"/>
      <c r="BH220" s="22"/>
      <c r="BI220" s="22"/>
      <c r="BJ220" s="22"/>
      <c r="BK220" s="22"/>
      <c r="BL220" s="22"/>
      <c r="BM220" s="6"/>
      <c r="BN220" s="22"/>
      <c r="BO220" s="6"/>
      <c r="BP220" s="22"/>
      <c r="BQ220" s="6"/>
      <c r="BW220" s="6"/>
      <c r="BX220"/>
      <c r="BY220"/>
      <c r="BZ220"/>
      <c r="CA220"/>
      <c r="CB220"/>
      <c r="CC220"/>
      <c r="CD220"/>
      <c r="CE220"/>
      <c r="CF220"/>
      <c r="CG220"/>
      <c r="CH220"/>
      <c r="CI220"/>
      <c r="CJ220"/>
      <c r="CK220"/>
      <c r="CL220"/>
      <c r="CM220"/>
      <c r="CN220"/>
      <c r="CO220"/>
      <c r="CP220"/>
      <c r="CQ220"/>
      <c r="CR220"/>
      <c r="CS220"/>
      <c r="CT220"/>
      <c r="CU220"/>
      <c r="CV220"/>
      <c r="CW220"/>
      <c r="CX220"/>
      <c r="CY220"/>
      <c r="CZ220"/>
      <c r="DA220"/>
      <c r="DB220"/>
      <c r="DC220"/>
      <c r="DD220"/>
      <c r="DE220"/>
      <c r="DF220"/>
      <c r="DG220"/>
      <c r="DH220"/>
      <c r="DI220"/>
      <c r="DJ220"/>
      <c r="DK220"/>
      <c r="DL220"/>
      <c r="DM220"/>
      <c r="DN220"/>
      <c r="DO220"/>
      <c r="DP220"/>
      <c r="DQ220"/>
      <c r="DR220"/>
      <c r="DS220"/>
      <c r="DT220"/>
    </row>
    <row r="221" spans="1:124">
      <c r="C221"/>
      <c r="D221"/>
      <c r="E221"/>
      <c r="F221"/>
      <c r="G221"/>
      <c r="H221"/>
      <c r="I221"/>
      <c r="J221" s="49"/>
      <c r="K221"/>
      <c r="L221" s="132"/>
      <c r="M221" s="6"/>
      <c r="O221" s="6"/>
      <c r="Q221" s="6"/>
      <c r="S221" s="6"/>
      <c r="T221" s="22"/>
      <c r="U221" s="6"/>
      <c r="V221" s="22"/>
      <c r="X221" s="22"/>
      <c r="Z221" s="22"/>
      <c r="AB221" s="22"/>
      <c r="AD221" s="22"/>
      <c r="AF221" s="22"/>
      <c r="AH221" s="22"/>
      <c r="AJ221" s="22"/>
      <c r="AL221" s="22"/>
      <c r="AN221" s="22"/>
      <c r="AP221" s="22"/>
      <c r="AR221" s="22"/>
      <c r="AT221" s="22"/>
      <c r="AV221" s="22"/>
      <c r="AW221" s="22"/>
      <c r="AX221" s="22"/>
      <c r="AY221" s="22"/>
      <c r="AZ221" s="22"/>
      <c r="BA221" s="22"/>
      <c r="BB221" s="22"/>
      <c r="BC221" s="22"/>
      <c r="BD221" s="22"/>
      <c r="BE221" s="22"/>
      <c r="BF221" s="22"/>
      <c r="BG221" s="22"/>
      <c r="BH221" s="22"/>
      <c r="BI221" s="22"/>
      <c r="BJ221" s="22"/>
      <c r="BK221" s="22"/>
      <c r="BL221" s="22"/>
      <c r="BM221" s="6"/>
      <c r="BN221" s="22"/>
      <c r="BO221" s="6"/>
      <c r="BP221" s="22"/>
      <c r="BQ221" s="6"/>
      <c r="BW221" s="6"/>
      <c r="BX221"/>
      <c r="BY221"/>
      <c r="BZ221"/>
      <c r="CA221"/>
      <c r="CB221"/>
      <c r="CC221"/>
      <c r="CD221"/>
      <c r="CE221"/>
      <c r="CF221"/>
      <c r="CG221"/>
      <c r="CH221"/>
      <c r="CI221"/>
      <c r="CJ221"/>
      <c r="CK221"/>
      <c r="CL221"/>
      <c r="CM221"/>
      <c r="CN221"/>
      <c r="CO221"/>
      <c r="CP221"/>
      <c r="CQ221"/>
      <c r="CR221"/>
      <c r="CS221"/>
      <c r="CT221"/>
      <c r="CU221"/>
      <c r="CV221"/>
      <c r="CW221"/>
      <c r="CX221"/>
      <c r="CY221"/>
      <c r="CZ221"/>
      <c r="DA221"/>
      <c r="DB221"/>
      <c r="DC221"/>
      <c r="DD221"/>
      <c r="DE221"/>
      <c r="DF221"/>
      <c r="DG221"/>
      <c r="DH221"/>
      <c r="DI221"/>
      <c r="DJ221"/>
      <c r="DK221"/>
      <c r="DL221"/>
      <c r="DM221"/>
      <c r="DN221"/>
      <c r="DO221"/>
      <c r="DP221"/>
      <c r="DQ221"/>
      <c r="DR221"/>
      <c r="DS221"/>
      <c r="DT221"/>
    </row>
    <row r="222" spans="1:124">
      <c r="K222" s="5"/>
      <c r="L222" s="146"/>
      <c r="M222" s="6"/>
      <c r="O222" s="6"/>
      <c r="Q222" s="6"/>
      <c r="S222" s="6"/>
      <c r="T222" s="22"/>
      <c r="U222" s="6"/>
      <c r="V222" s="22"/>
      <c r="X222" s="22"/>
      <c r="Z222" s="22"/>
      <c r="AB222" s="22"/>
      <c r="AD222" s="22"/>
      <c r="AF222" s="22"/>
      <c r="AH222" s="22"/>
      <c r="AJ222" s="22"/>
      <c r="AL222" s="22"/>
      <c r="AN222" s="22"/>
      <c r="AP222" s="22"/>
      <c r="AR222" s="22"/>
      <c r="AT222" s="22"/>
      <c r="AV222" s="22"/>
      <c r="AW222" s="22"/>
      <c r="AX222" s="22"/>
      <c r="AY222" s="22"/>
      <c r="AZ222" s="22"/>
      <c r="BA222" s="22"/>
      <c r="BB222" s="22"/>
      <c r="BC222" s="22"/>
      <c r="BD222" s="22"/>
      <c r="BE222" s="22"/>
      <c r="BF222" s="22"/>
      <c r="BG222" s="22"/>
      <c r="BH222" s="22"/>
      <c r="BI222" s="22"/>
      <c r="BJ222" s="22"/>
      <c r="BK222" s="22"/>
      <c r="BL222" s="22"/>
      <c r="BM222" s="6"/>
      <c r="BN222" s="22"/>
      <c r="BO222" s="6"/>
      <c r="BP222" s="22"/>
      <c r="BQ222" s="6"/>
      <c r="BW222" s="6"/>
      <c r="BX222"/>
      <c r="BY222"/>
      <c r="BZ222"/>
      <c r="CA222"/>
      <c r="CB222"/>
      <c r="CC222"/>
      <c r="CD222"/>
      <c r="CE222"/>
      <c r="CF222"/>
      <c r="CG222"/>
      <c r="CH222"/>
      <c r="CI222"/>
      <c r="CJ222"/>
      <c r="CK222"/>
      <c r="CL222"/>
      <c r="CM222"/>
      <c r="CN222"/>
      <c r="CO222"/>
      <c r="CP222"/>
      <c r="CQ222"/>
      <c r="CR222"/>
      <c r="CS222"/>
      <c r="CT222"/>
      <c r="CU222"/>
      <c r="CV222"/>
      <c r="CW222"/>
      <c r="CX222"/>
      <c r="CY222"/>
      <c r="CZ222"/>
      <c r="DA222"/>
      <c r="DB222"/>
      <c r="DC222"/>
      <c r="DD222"/>
      <c r="DE222"/>
      <c r="DF222"/>
      <c r="DG222"/>
      <c r="DH222"/>
      <c r="DI222"/>
      <c r="DJ222"/>
      <c r="DK222"/>
      <c r="DL222"/>
      <c r="DM222"/>
      <c r="DN222"/>
      <c r="DO222"/>
      <c r="DP222"/>
      <c r="DQ222"/>
      <c r="DR222"/>
      <c r="DS222"/>
      <c r="DT222"/>
    </row>
    <row r="223" spans="1:124">
      <c r="K223" s="5"/>
      <c r="L223" s="146"/>
      <c r="M223" s="6"/>
      <c r="O223" s="6"/>
      <c r="Q223" s="6"/>
      <c r="S223" s="6"/>
      <c r="T223" s="22"/>
      <c r="U223" s="6"/>
      <c r="V223" s="22"/>
      <c r="X223" s="22"/>
      <c r="Z223" s="22"/>
      <c r="AB223" s="22"/>
      <c r="AD223" s="22"/>
      <c r="AF223" s="22"/>
      <c r="AH223" s="22"/>
      <c r="AJ223" s="22"/>
      <c r="AL223" s="22"/>
      <c r="AN223" s="22"/>
      <c r="AP223" s="22"/>
      <c r="AR223" s="22"/>
      <c r="AT223" s="22"/>
      <c r="AV223" s="22"/>
      <c r="AW223" s="22"/>
      <c r="AX223" s="22"/>
      <c r="AY223" s="22"/>
      <c r="AZ223" s="22"/>
      <c r="BA223" s="22"/>
      <c r="BB223" s="22"/>
      <c r="BC223" s="22"/>
      <c r="BD223" s="22"/>
      <c r="BE223" s="22"/>
      <c r="BF223" s="22"/>
      <c r="BG223" s="22"/>
      <c r="BH223" s="22"/>
      <c r="BI223" s="22"/>
      <c r="BJ223" s="22"/>
      <c r="BK223" s="22"/>
      <c r="BL223" s="22"/>
      <c r="BM223" s="6"/>
      <c r="BN223" s="22"/>
      <c r="BO223" s="6"/>
      <c r="BP223" s="22"/>
      <c r="BQ223" s="6"/>
      <c r="BW223" s="6"/>
      <c r="BX223"/>
      <c r="BY223"/>
      <c r="BZ223"/>
      <c r="CA223"/>
      <c r="CB223"/>
      <c r="CC223"/>
      <c r="CD223"/>
      <c r="CE223"/>
      <c r="CF223"/>
      <c r="CG223"/>
      <c r="CH223"/>
      <c r="CI223"/>
      <c r="CJ223"/>
      <c r="CK223"/>
      <c r="CL223"/>
      <c r="CM223"/>
      <c r="CN223"/>
      <c r="CO223"/>
      <c r="CP223"/>
      <c r="CQ223"/>
      <c r="CR223"/>
      <c r="CS223"/>
      <c r="CT223"/>
      <c r="CU223"/>
      <c r="CV223"/>
      <c r="CW223"/>
      <c r="CX223"/>
      <c r="CY223"/>
      <c r="CZ223"/>
      <c r="DA223"/>
      <c r="DB223"/>
      <c r="DC223"/>
      <c r="DD223"/>
      <c r="DE223"/>
      <c r="DF223"/>
      <c r="DG223"/>
      <c r="DH223"/>
      <c r="DI223"/>
      <c r="DJ223"/>
      <c r="DK223"/>
      <c r="DL223"/>
      <c r="DM223"/>
      <c r="DN223"/>
      <c r="DO223"/>
      <c r="DP223"/>
      <c r="DQ223"/>
      <c r="DR223"/>
      <c r="DS223"/>
      <c r="DT223"/>
    </row>
    <row r="224" spans="1:124">
      <c r="K224" s="5"/>
      <c r="L224" s="146"/>
      <c r="M224" s="6"/>
      <c r="O224" s="6"/>
      <c r="Q224" s="6"/>
      <c r="S224" s="6"/>
      <c r="T224" s="22"/>
      <c r="U224" s="6"/>
      <c r="V224" s="22"/>
      <c r="X224" s="22"/>
      <c r="Z224" s="22"/>
      <c r="AB224" s="22"/>
      <c r="AD224" s="22"/>
      <c r="AF224" s="22"/>
      <c r="AH224" s="22"/>
      <c r="AJ224" s="22"/>
      <c r="AL224" s="22"/>
      <c r="AN224" s="22"/>
      <c r="AP224" s="22"/>
      <c r="AR224" s="22"/>
      <c r="AT224" s="22"/>
      <c r="AV224" s="22"/>
      <c r="AW224" s="22"/>
      <c r="AX224" s="22"/>
      <c r="AY224" s="22"/>
      <c r="AZ224" s="22"/>
      <c r="BA224" s="22"/>
      <c r="BB224" s="22"/>
      <c r="BC224" s="22"/>
      <c r="BD224" s="22"/>
      <c r="BE224" s="22"/>
      <c r="BF224" s="22"/>
      <c r="BG224" s="22"/>
      <c r="BH224" s="22"/>
      <c r="BI224" s="22"/>
      <c r="BJ224" s="22"/>
      <c r="BK224" s="22"/>
      <c r="BL224" s="22"/>
      <c r="BM224" s="6"/>
      <c r="BN224" s="22"/>
      <c r="BO224" s="6"/>
      <c r="BP224" s="22"/>
      <c r="BQ224" s="6"/>
      <c r="BW224" s="6"/>
      <c r="BX224"/>
      <c r="BY224"/>
      <c r="BZ224"/>
      <c r="CA224"/>
      <c r="CB224"/>
      <c r="CC224"/>
      <c r="CD224"/>
      <c r="CE224"/>
      <c r="CF224"/>
      <c r="CG224"/>
      <c r="CH224"/>
      <c r="CI224"/>
      <c r="CJ224"/>
      <c r="CK224"/>
      <c r="CL224"/>
      <c r="CM224"/>
      <c r="CN224"/>
      <c r="CO224"/>
      <c r="CP224"/>
      <c r="CQ224"/>
      <c r="CR224"/>
      <c r="CS224"/>
      <c r="CT224"/>
      <c r="CU224"/>
      <c r="CV224"/>
      <c r="CW224"/>
      <c r="CX224"/>
      <c r="CY224"/>
      <c r="CZ224"/>
      <c r="DA224"/>
      <c r="DB224"/>
      <c r="DC224"/>
      <c r="DD224"/>
      <c r="DE224"/>
      <c r="DF224"/>
      <c r="DG224"/>
      <c r="DH224"/>
      <c r="DI224"/>
      <c r="DJ224"/>
      <c r="DK224"/>
      <c r="DL224"/>
      <c r="DM224"/>
      <c r="DN224"/>
      <c r="DO224"/>
      <c r="DP224"/>
      <c r="DQ224"/>
      <c r="DR224"/>
      <c r="DS224"/>
      <c r="DT224"/>
    </row>
    <row r="225" spans="11:124">
      <c r="K225" s="5"/>
      <c r="L225" s="146"/>
      <c r="M225" s="6"/>
      <c r="O225" s="6"/>
      <c r="Q225" s="6"/>
      <c r="S225" s="6"/>
      <c r="T225" s="22"/>
      <c r="U225" s="6"/>
      <c r="V225" s="22"/>
      <c r="X225" s="22"/>
      <c r="Z225" s="22"/>
      <c r="AB225" s="22"/>
      <c r="AD225" s="22"/>
      <c r="AF225" s="22"/>
      <c r="AH225" s="22"/>
      <c r="AJ225" s="22"/>
      <c r="AL225" s="22"/>
      <c r="AN225" s="22"/>
      <c r="AP225" s="22"/>
      <c r="AR225" s="22"/>
      <c r="AT225" s="22"/>
      <c r="AV225" s="22"/>
      <c r="AW225" s="22"/>
      <c r="AX225" s="22"/>
      <c r="AY225" s="22"/>
      <c r="AZ225" s="22"/>
      <c r="BA225" s="22"/>
      <c r="BB225" s="22"/>
      <c r="BC225" s="22"/>
      <c r="BD225" s="22"/>
      <c r="BE225" s="22"/>
      <c r="BF225" s="22"/>
      <c r="BG225" s="22"/>
      <c r="BH225" s="22"/>
      <c r="BI225" s="22"/>
      <c r="BJ225" s="22"/>
      <c r="BK225" s="22"/>
      <c r="BL225" s="22"/>
      <c r="BM225" s="6"/>
      <c r="BN225" s="22"/>
      <c r="BO225" s="6"/>
      <c r="BP225" s="22"/>
      <c r="BQ225" s="6"/>
      <c r="BW225" s="6"/>
      <c r="BX225"/>
      <c r="BY225"/>
      <c r="BZ225"/>
      <c r="CA225"/>
      <c r="CB225"/>
      <c r="CC225"/>
      <c r="CD225"/>
      <c r="CE225"/>
      <c r="CF225"/>
      <c r="CG225"/>
      <c r="CH225"/>
      <c r="CI225"/>
      <c r="CJ225"/>
      <c r="CK225"/>
      <c r="CL225"/>
      <c r="CM225"/>
      <c r="CN225"/>
      <c r="CO225"/>
      <c r="CP225"/>
      <c r="CQ225"/>
      <c r="CR225"/>
      <c r="CS225"/>
      <c r="CT225"/>
      <c r="CU225"/>
      <c r="CV225"/>
      <c r="CW225"/>
      <c r="CX225"/>
      <c r="CY225"/>
      <c r="CZ225"/>
      <c r="DA225"/>
      <c r="DB225"/>
      <c r="DC225"/>
      <c r="DD225"/>
      <c r="DE225"/>
      <c r="DF225"/>
      <c r="DG225"/>
      <c r="DH225"/>
      <c r="DI225"/>
      <c r="DJ225"/>
      <c r="DK225"/>
      <c r="DL225"/>
      <c r="DM225"/>
      <c r="DN225"/>
      <c r="DO225"/>
      <c r="DP225"/>
      <c r="DQ225"/>
      <c r="DR225"/>
      <c r="DS225"/>
      <c r="DT225"/>
    </row>
    <row r="226" spans="11:124">
      <c r="K226" s="5"/>
      <c r="L226" s="146"/>
      <c r="M226" s="6"/>
      <c r="O226" s="6"/>
      <c r="Q226" s="6"/>
      <c r="S226" s="6"/>
      <c r="T226" s="22"/>
      <c r="U226" s="6"/>
      <c r="V226" s="22"/>
      <c r="X226" s="22"/>
      <c r="Z226" s="22"/>
      <c r="AB226" s="22"/>
      <c r="AD226" s="22"/>
      <c r="AF226" s="22"/>
      <c r="AH226" s="22"/>
      <c r="AJ226" s="22"/>
      <c r="AL226" s="22"/>
      <c r="AN226" s="22"/>
      <c r="AP226" s="22"/>
      <c r="AR226" s="22"/>
      <c r="AT226" s="22"/>
      <c r="AV226" s="22"/>
      <c r="AW226" s="22"/>
      <c r="AX226" s="22"/>
      <c r="AY226" s="22"/>
      <c r="AZ226" s="22"/>
      <c r="BA226" s="22"/>
      <c r="BB226" s="22"/>
      <c r="BC226" s="22"/>
      <c r="BD226" s="22"/>
      <c r="BE226" s="22"/>
      <c r="BF226" s="22"/>
      <c r="BG226" s="22"/>
      <c r="BH226" s="22"/>
      <c r="BI226" s="22"/>
      <c r="BJ226" s="22"/>
      <c r="BK226" s="22"/>
      <c r="BL226" s="22"/>
      <c r="BM226" s="6"/>
      <c r="BN226" s="22"/>
      <c r="BO226" s="6"/>
      <c r="BP226" s="22"/>
      <c r="BQ226" s="6"/>
      <c r="BW226" s="6"/>
      <c r="BX226"/>
      <c r="BY226"/>
      <c r="BZ226"/>
      <c r="CA226"/>
      <c r="CB226"/>
      <c r="CC226"/>
      <c r="CD226"/>
      <c r="CE226"/>
      <c r="CF226"/>
      <c r="CG226"/>
      <c r="CH226"/>
      <c r="CI226"/>
      <c r="CJ226"/>
      <c r="CK226"/>
      <c r="CL226"/>
      <c r="CM226"/>
      <c r="CN226"/>
      <c r="CO226"/>
      <c r="CP226"/>
      <c r="CQ226"/>
      <c r="CR226"/>
      <c r="CS226"/>
      <c r="CT226"/>
      <c r="CU226"/>
      <c r="CV226"/>
      <c r="CW226"/>
      <c r="CX226"/>
      <c r="CY226"/>
      <c r="CZ226"/>
      <c r="DA226"/>
      <c r="DB226"/>
      <c r="DC226"/>
      <c r="DD226"/>
      <c r="DE226"/>
      <c r="DF226"/>
      <c r="DG226"/>
      <c r="DH226"/>
      <c r="DI226"/>
      <c r="DJ226"/>
      <c r="DK226"/>
      <c r="DL226"/>
      <c r="DM226"/>
      <c r="DN226"/>
      <c r="DO226"/>
      <c r="DP226"/>
      <c r="DQ226"/>
      <c r="DR226"/>
      <c r="DS226"/>
      <c r="DT226"/>
    </row>
    <row r="227" spans="11:124">
      <c r="K227" s="5"/>
      <c r="L227" s="146"/>
      <c r="M227" s="6"/>
      <c r="O227" s="6"/>
      <c r="Q227" s="6"/>
      <c r="S227" s="6"/>
      <c r="T227" s="22"/>
      <c r="U227" s="6"/>
      <c r="V227" s="22"/>
      <c r="X227" s="22"/>
      <c r="Z227" s="22"/>
      <c r="AB227" s="22"/>
      <c r="AD227" s="22"/>
      <c r="AF227" s="22"/>
      <c r="AH227" s="22"/>
      <c r="AJ227" s="22"/>
      <c r="AL227" s="22"/>
      <c r="AN227" s="22"/>
      <c r="AP227" s="22"/>
      <c r="AR227" s="22"/>
      <c r="AT227" s="22"/>
      <c r="AV227" s="22"/>
      <c r="AW227" s="22"/>
      <c r="AX227" s="22"/>
      <c r="AY227" s="22"/>
      <c r="AZ227" s="22"/>
      <c r="BA227" s="22"/>
      <c r="BB227" s="22"/>
      <c r="BC227" s="22"/>
      <c r="BD227" s="22"/>
      <c r="BE227" s="22"/>
      <c r="BF227" s="22"/>
      <c r="BG227" s="22"/>
      <c r="BH227" s="22"/>
      <c r="BI227" s="22"/>
      <c r="BJ227" s="22"/>
      <c r="BK227" s="22"/>
      <c r="BL227" s="22"/>
      <c r="BM227" s="6"/>
      <c r="BN227" s="22"/>
      <c r="BO227" s="6"/>
      <c r="BP227" s="22"/>
      <c r="BQ227" s="6"/>
      <c r="BW227" s="6"/>
      <c r="BX227"/>
      <c r="BY227"/>
      <c r="BZ227"/>
      <c r="CA227"/>
      <c r="CB227"/>
      <c r="CC227"/>
      <c r="CD227"/>
      <c r="CE227"/>
      <c r="CF227"/>
      <c r="CG227"/>
      <c r="CH227"/>
      <c r="CI227"/>
      <c r="CJ227"/>
      <c r="CK227"/>
      <c r="CL227"/>
      <c r="CM227"/>
      <c r="CN227"/>
      <c r="CO227"/>
      <c r="CP227"/>
      <c r="CQ227"/>
      <c r="CR227"/>
      <c r="CS227"/>
      <c r="CT227"/>
      <c r="CU227"/>
      <c r="CV227"/>
      <c r="CW227"/>
      <c r="CX227"/>
      <c r="CY227"/>
      <c r="CZ227"/>
      <c r="DA227"/>
      <c r="DB227"/>
      <c r="DC227"/>
      <c r="DD227"/>
      <c r="DE227"/>
      <c r="DF227"/>
      <c r="DG227"/>
      <c r="DH227"/>
      <c r="DI227"/>
      <c r="DJ227"/>
      <c r="DK227"/>
      <c r="DL227"/>
      <c r="DM227"/>
      <c r="DN227"/>
      <c r="DO227"/>
      <c r="DP227"/>
      <c r="DQ227"/>
      <c r="DR227"/>
      <c r="DS227"/>
      <c r="DT227"/>
    </row>
    <row r="228" spans="11:124">
      <c r="K228" s="5"/>
      <c r="L228" s="146"/>
      <c r="M228" s="6"/>
      <c r="O228" s="6"/>
      <c r="Q228" s="6"/>
      <c r="S228" s="6"/>
      <c r="T228" s="22"/>
      <c r="U228" s="6"/>
      <c r="V228" s="22"/>
      <c r="X228" s="22"/>
      <c r="Z228" s="22"/>
      <c r="AB228" s="22"/>
      <c r="AD228" s="22"/>
      <c r="AF228" s="22"/>
      <c r="AH228" s="22"/>
      <c r="AJ228" s="22"/>
      <c r="AL228" s="22"/>
      <c r="AN228" s="22"/>
      <c r="AP228" s="22"/>
      <c r="AR228" s="22"/>
      <c r="AT228" s="22"/>
      <c r="AV228" s="22"/>
      <c r="AW228" s="22"/>
      <c r="AX228" s="22"/>
      <c r="AY228" s="22"/>
      <c r="AZ228" s="22"/>
      <c r="BA228" s="22"/>
      <c r="BB228" s="22"/>
      <c r="BC228" s="22"/>
      <c r="BD228" s="22"/>
      <c r="BE228" s="22"/>
      <c r="BF228" s="22"/>
      <c r="BG228" s="22"/>
      <c r="BH228" s="22"/>
      <c r="BI228" s="22"/>
      <c r="BJ228" s="22"/>
      <c r="BK228" s="22"/>
      <c r="BL228" s="22"/>
      <c r="BM228" s="6"/>
      <c r="BN228" s="22"/>
      <c r="BO228" s="6"/>
      <c r="BP228" s="22"/>
      <c r="BQ228" s="6"/>
      <c r="BW228" s="6"/>
      <c r="BX228"/>
      <c r="BY228"/>
      <c r="BZ228"/>
      <c r="CA228"/>
      <c r="CB228"/>
      <c r="CC228"/>
      <c r="CD228"/>
      <c r="CE228"/>
      <c r="CF228"/>
      <c r="CG228"/>
      <c r="CH228"/>
      <c r="CI228"/>
      <c r="CJ228"/>
      <c r="CK228"/>
      <c r="CL228"/>
      <c r="CM228"/>
      <c r="CN228"/>
      <c r="CO228"/>
      <c r="CP228"/>
      <c r="CQ228"/>
      <c r="CR228"/>
      <c r="CS228"/>
      <c r="CT228"/>
      <c r="CU228"/>
      <c r="CV228"/>
      <c r="CW228"/>
      <c r="CX228"/>
      <c r="CY228"/>
      <c r="CZ228"/>
      <c r="DA228"/>
      <c r="DB228"/>
      <c r="DC228"/>
      <c r="DD228"/>
      <c r="DE228"/>
      <c r="DF228"/>
      <c r="DG228"/>
      <c r="DH228"/>
      <c r="DI228"/>
      <c r="DJ228"/>
      <c r="DK228"/>
      <c r="DL228"/>
      <c r="DM228"/>
      <c r="DN228"/>
      <c r="DO228"/>
      <c r="DP228"/>
      <c r="DQ228"/>
      <c r="DR228"/>
      <c r="DS228"/>
      <c r="DT228"/>
    </row>
    <row r="229" spans="11:124">
      <c r="K229" s="5"/>
      <c r="L229" s="146"/>
      <c r="M229" s="6"/>
      <c r="O229" s="6"/>
      <c r="Q229" s="6"/>
      <c r="S229" s="6"/>
      <c r="T229" s="22"/>
      <c r="U229" s="6"/>
      <c r="V229" s="22"/>
      <c r="X229" s="22"/>
      <c r="Z229" s="22"/>
      <c r="AB229" s="22"/>
      <c r="AD229" s="22"/>
      <c r="AF229" s="22"/>
      <c r="AH229" s="22"/>
      <c r="AJ229" s="22"/>
      <c r="AL229" s="22"/>
      <c r="AN229" s="22"/>
      <c r="AP229" s="22"/>
      <c r="AR229" s="22"/>
      <c r="AT229" s="22"/>
      <c r="AV229" s="22"/>
      <c r="AW229" s="22"/>
      <c r="AX229" s="22"/>
      <c r="AY229" s="22"/>
      <c r="AZ229" s="22"/>
      <c r="BA229" s="22"/>
      <c r="BB229" s="22"/>
      <c r="BC229" s="22"/>
      <c r="BD229" s="22"/>
      <c r="BE229" s="22"/>
      <c r="BF229" s="22"/>
      <c r="BG229" s="22"/>
      <c r="BH229" s="22"/>
      <c r="BI229" s="22"/>
      <c r="BJ229" s="22"/>
      <c r="BK229" s="22"/>
      <c r="BL229" s="22"/>
      <c r="BM229" s="6"/>
      <c r="BN229" s="22"/>
      <c r="BO229" s="6"/>
      <c r="BP229" s="22"/>
      <c r="BQ229" s="6"/>
      <c r="BW229" s="6"/>
      <c r="BX229"/>
      <c r="BY229"/>
      <c r="BZ229"/>
      <c r="CA229"/>
      <c r="CB229"/>
      <c r="CC229"/>
      <c r="CD229"/>
      <c r="CE229"/>
      <c r="CF229"/>
      <c r="CG229"/>
      <c r="CH229"/>
      <c r="CI229"/>
      <c r="CJ229"/>
      <c r="CK229"/>
      <c r="CL229"/>
      <c r="CM229"/>
      <c r="CN229"/>
      <c r="CO229"/>
      <c r="CP229"/>
      <c r="CQ229"/>
      <c r="CR229"/>
      <c r="CS229"/>
      <c r="CT229"/>
      <c r="CU229"/>
      <c r="CV229"/>
      <c r="CW229"/>
      <c r="CX229"/>
      <c r="CY229"/>
      <c r="CZ229"/>
      <c r="DA229"/>
      <c r="DB229"/>
      <c r="DC229"/>
      <c r="DD229"/>
      <c r="DE229"/>
      <c r="DF229"/>
      <c r="DG229"/>
      <c r="DH229"/>
      <c r="DI229"/>
      <c r="DJ229"/>
      <c r="DK229"/>
      <c r="DL229"/>
      <c r="DM229"/>
      <c r="DN229"/>
      <c r="DO229"/>
      <c r="DP229"/>
      <c r="DQ229"/>
      <c r="DR229"/>
      <c r="DS229"/>
      <c r="DT229"/>
    </row>
    <row r="230" spans="11:124">
      <c r="K230" s="5"/>
      <c r="L230" s="146"/>
      <c r="M230" s="6"/>
      <c r="O230" s="6"/>
      <c r="Q230" s="6"/>
      <c r="S230" s="6"/>
      <c r="T230" s="22"/>
      <c r="U230" s="6"/>
      <c r="V230" s="22"/>
      <c r="X230" s="22"/>
      <c r="Z230" s="22"/>
      <c r="AB230" s="22"/>
      <c r="AD230" s="22"/>
      <c r="AF230" s="22"/>
      <c r="AH230" s="22"/>
      <c r="AJ230" s="22"/>
      <c r="AL230" s="22"/>
      <c r="AN230" s="22"/>
      <c r="AP230" s="22"/>
      <c r="AR230" s="22"/>
      <c r="AT230" s="22"/>
      <c r="AV230" s="22"/>
      <c r="AW230" s="22"/>
      <c r="AX230" s="22"/>
      <c r="AY230" s="22"/>
      <c r="AZ230" s="22"/>
      <c r="BA230" s="22"/>
      <c r="BB230" s="22"/>
      <c r="BC230" s="22"/>
      <c r="BD230" s="22"/>
      <c r="BE230" s="22"/>
      <c r="BF230" s="22"/>
      <c r="BG230" s="22"/>
      <c r="BH230" s="22"/>
      <c r="BI230" s="22"/>
      <c r="BJ230" s="22"/>
      <c r="BK230" s="22"/>
      <c r="BL230" s="22"/>
      <c r="BM230" s="6"/>
      <c r="BN230" s="22"/>
      <c r="BO230" s="6"/>
      <c r="BP230" s="22"/>
      <c r="BQ230" s="6"/>
      <c r="BW230" s="6"/>
      <c r="BX230"/>
      <c r="BY230"/>
      <c r="BZ230"/>
      <c r="CA230"/>
      <c r="CB230"/>
      <c r="CC230"/>
      <c r="CD230"/>
      <c r="CE230"/>
      <c r="CF230"/>
      <c r="CG230"/>
      <c r="CH230"/>
      <c r="CI230"/>
      <c r="CJ230"/>
      <c r="CK230"/>
      <c r="CL230"/>
      <c r="CM230"/>
      <c r="CN230"/>
      <c r="CO230"/>
      <c r="CP230"/>
      <c r="CQ230"/>
      <c r="CR230"/>
      <c r="CS230"/>
      <c r="CT230"/>
      <c r="CU230"/>
      <c r="CV230"/>
      <c r="CW230"/>
      <c r="CX230"/>
      <c r="CY230"/>
      <c r="CZ230"/>
      <c r="DA230"/>
      <c r="DB230"/>
      <c r="DC230"/>
      <c r="DD230"/>
      <c r="DE230"/>
      <c r="DF230"/>
      <c r="DG230"/>
      <c r="DH230"/>
      <c r="DI230"/>
      <c r="DJ230"/>
      <c r="DK230"/>
      <c r="DL230"/>
      <c r="DM230"/>
      <c r="DN230"/>
      <c r="DO230"/>
      <c r="DP230"/>
      <c r="DQ230"/>
      <c r="DR230"/>
      <c r="DS230"/>
      <c r="DT230"/>
    </row>
    <row r="231" spans="11:124">
      <c r="K231" s="5"/>
      <c r="L231" s="146"/>
      <c r="M231" s="6"/>
      <c r="O231" s="6"/>
      <c r="Q231" s="6"/>
      <c r="S231" s="6"/>
      <c r="T231" s="22"/>
      <c r="U231" s="6"/>
      <c r="V231" s="22"/>
      <c r="X231" s="22"/>
      <c r="Z231" s="22"/>
      <c r="AB231" s="22"/>
      <c r="AD231" s="22"/>
      <c r="BL231" s="22"/>
      <c r="BM231" s="6"/>
      <c r="BN231" s="22"/>
      <c r="BO231" s="6"/>
      <c r="BP231" s="22"/>
      <c r="BQ231" s="6"/>
      <c r="BW231" s="6"/>
      <c r="BX231"/>
      <c r="BY231"/>
      <c r="BZ231"/>
      <c r="CA231"/>
      <c r="CB231"/>
      <c r="CC231"/>
      <c r="CD231"/>
      <c r="CE231"/>
      <c r="CF231"/>
      <c r="CG231"/>
      <c r="CH231"/>
      <c r="CI231"/>
      <c r="CJ231"/>
      <c r="CK231"/>
      <c r="CL231"/>
      <c r="CM231"/>
      <c r="CN231"/>
      <c r="CO231"/>
      <c r="CP231"/>
      <c r="CQ231"/>
      <c r="CR231"/>
      <c r="CS231"/>
      <c r="CT231"/>
      <c r="CU231"/>
      <c r="CV231"/>
      <c r="CW231"/>
      <c r="CX231"/>
      <c r="CY231"/>
      <c r="CZ231"/>
      <c r="DA231"/>
      <c r="DB231"/>
      <c r="DC231"/>
      <c r="DD231"/>
      <c r="DE231"/>
      <c r="DF231"/>
      <c r="DG231"/>
      <c r="DH231"/>
      <c r="DI231"/>
      <c r="DJ231"/>
      <c r="DK231"/>
      <c r="DL231"/>
      <c r="DM231"/>
      <c r="DN231"/>
      <c r="DO231"/>
      <c r="DP231"/>
      <c r="DQ231"/>
      <c r="DR231"/>
      <c r="DS231"/>
      <c r="DT231"/>
    </row>
    <row r="232" spans="11:124">
      <c r="K232" s="5"/>
      <c r="L232" s="146"/>
      <c r="BN232" s="22"/>
    </row>
    <row r="233" spans="11:124">
      <c r="K233" s="5"/>
      <c r="L233" s="146"/>
      <c r="BN233" s="22"/>
    </row>
    <row r="234" spans="11:124">
      <c r="K234" s="5"/>
      <c r="L234" s="146"/>
      <c r="BN234" s="22"/>
    </row>
    <row r="235" spans="11:124">
      <c r="K235" s="5"/>
      <c r="L235" s="146"/>
      <c r="BN235" s="22"/>
    </row>
    <row r="236" spans="11:124">
      <c r="K236" s="5"/>
      <c r="L236" s="146"/>
      <c r="BN236" s="22"/>
    </row>
    <row r="237" spans="11:124">
      <c r="K237" s="5"/>
      <c r="L237" s="146"/>
      <c r="BN237" s="22"/>
    </row>
    <row r="238" spans="11:124">
      <c r="K238" s="5"/>
      <c r="L238" s="146"/>
      <c r="BN238" s="22"/>
    </row>
    <row r="239" spans="11:124">
      <c r="K239" s="5"/>
      <c r="L239" s="146"/>
      <c r="BN239" s="22"/>
    </row>
    <row r="240" spans="11:124">
      <c r="L240" s="132"/>
      <c r="BN240" s="22"/>
    </row>
    <row r="241" spans="66:66">
      <c r="BN241" s="22"/>
    </row>
    <row r="242" spans="66:66">
      <c r="BN242" s="22"/>
    </row>
    <row r="243" spans="66:66">
      <c r="BN243" s="22"/>
    </row>
    <row r="244" spans="66:66">
      <c r="BN244" s="22"/>
    </row>
    <row r="245" spans="66:66">
      <c r="BN245" s="22"/>
    </row>
    <row r="246" spans="66:66">
      <c r="BN246" s="22"/>
    </row>
    <row r="247" spans="66:66">
      <c r="BN247" s="22"/>
    </row>
    <row r="248" spans="66:66">
      <c r="BN248" s="22"/>
    </row>
    <row r="249" spans="66:66">
      <c r="BN249" s="22"/>
    </row>
    <row r="250" spans="66:66">
      <c r="BN250" s="22"/>
    </row>
    <row r="251" spans="66:66">
      <c r="BN251" s="22"/>
    </row>
    <row r="252" spans="66:66">
      <c r="BN252" s="22"/>
    </row>
    <row r="253" spans="66:66">
      <c r="BN253" s="22"/>
    </row>
    <row r="254" spans="66:66">
      <c r="BN254" s="22"/>
    </row>
    <row r="255" spans="66:66">
      <c r="BN255" s="22"/>
    </row>
    <row r="256" spans="66:66">
      <c r="BN256" s="22"/>
    </row>
    <row r="257" spans="66:66">
      <c r="BN257" s="22"/>
    </row>
    <row r="258" spans="66:66">
      <c r="BN258" s="22"/>
    </row>
    <row r="259" spans="66:66">
      <c r="BN259" s="22"/>
    </row>
    <row r="260" spans="66:66">
      <c r="BN260" s="22"/>
    </row>
    <row r="261" spans="66:66">
      <c r="BN261" s="22"/>
    </row>
    <row r="262" spans="66:66">
      <c r="BN262" s="22"/>
    </row>
    <row r="263" spans="66:66">
      <c r="BN263" s="22"/>
    </row>
    <row r="264" spans="66:66">
      <c r="BN264" s="22"/>
    </row>
    <row r="265" spans="66:66">
      <c r="BN265" s="22"/>
    </row>
    <row r="266" spans="66:66">
      <c r="BN266" s="22"/>
    </row>
    <row r="267" spans="66:66">
      <c r="BN267" s="22"/>
    </row>
    <row r="268" spans="66:66">
      <c r="BN268" s="22"/>
    </row>
    <row r="269" spans="66:66">
      <c r="BN269" s="22"/>
    </row>
  </sheetData>
  <printOptions horizontalCentered="1"/>
  <pageMargins left="0" right="0" top="0.25" bottom="0.25" header="0.5" footer="0.5"/>
  <pageSetup scale="38" fitToWidth="2" orientation="portrait" horizontalDpi="300" verticalDpi="300" r:id="rId1"/>
  <headerFooter alignWithMargins="0"/>
  <rowBreaks count="2" manualBreakCount="2">
    <brk id="90" max="16383" man="1"/>
    <brk id="133" max="16383" man="1"/>
  </rowBreaks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DV299"/>
  <sheetViews>
    <sheetView topLeftCell="A4" zoomScale="80" zoomScaleNormal="80" workbookViewId="0">
      <pane xSplit="17" topLeftCell="R1" activePane="topRight" state="frozen"/>
      <selection pane="topRight" activeCell="B53" sqref="B53:B56"/>
    </sheetView>
  </sheetViews>
  <sheetFormatPr defaultRowHeight="12.75"/>
  <cols>
    <col min="1" max="1" width="4.7109375" style="11" customWidth="1"/>
    <col min="2" max="2" width="55.28515625" style="4" customWidth="1"/>
    <col min="3" max="3" width="9.28515625" style="4" hidden="1" customWidth="1"/>
    <col min="4" max="4" width="0.85546875" style="4" hidden="1" customWidth="1"/>
    <col min="5" max="5" width="16.85546875" style="5" hidden="1" customWidth="1"/>
    <col min="6" max="6" width="0.85546875" style="4" hidden="1" customWidth="1"/>
    <col min="7" max="7" width="17.140625" style="5" hidden="1" customWidth="1"/>
    <col min="8" max="8" width="0.85546875" style="4" hidden="1" customWidth="1"/>
    <col min="9" max="10" width="11.140625" style="5" hidden="1" customWidth="1"/>
    <col min="11" max="11" width="0.85546875" style="4" hidden="1" customWidth="1"/>
    <col min="12" max="12" width="12.28515625" style="147" hidden="1" customWidth="1"/>
    <col min="13" max="13" width="0.85546875" style="4" customWidth="1"/>
    <col min="14" max="14" width="19.42578125" style="6" hidden="1" customWidth="1"/>
    <col min="15" max="15" width="0.85546875" style="4" hidden="1" customWidth="1"/>
    <col min="16" max="16" width="16.28515625" style="6" hidden="1" customWidth="1"/>
    <col min="17" max="17" width="0.85546875" style="4" hidden="1" customWidth="1"/>
    <col min="18" max="18" width="22.28515625" style="6" customWidth="1"/>
    <col min="19" max="19" width="1" style="4" hidden="1" customWidth="1"/>
    <col min="20" max="20" width="19.140625" style="65" hidden="1" customWidth="1"/>
    <col min="21" max="21" width="0.85546875" style="97" hidden="1" customWidth="1"/>
    <col min="22" max="22" width="17.85546875" style="65" hidden="1" customWidth="1"/>
    <col min="23" max="23" width="0.85546875" style="6" hidden="1" customWidth="1"/>
    <col min="24" max="24" width="17.85546875" style="65" hidden="1" customWidth="1"/>
    <col min="25" max="25" width="0.85546875" style="6" hidden="1" customWidth="1"/>
    <col min="26" max="26" width="17.85546875" style="65" hidden="1" customWidth="1"/>
    <col min="27" max="27" width="0.85546875" style="6" hidden="1" customWidth="1"/>
    <col min="28" max="28" width="18" style="65" hidden="1" customWidth="1"/>
    <col min="29" max="29" width="0.85546875" style="6" hidden="1" customWidth="1"/>
    <col min="30" max="30" width="18" style="65" hidden="1" customWidth="1"/>
    <col min="31" max="31" width="1.28515625" style="6" hidden="1" customWidth="1"/>
    <col min="32" max="32" width="18" style="6" hidden="1" customWidth="1"/>
    <col min="33" max="33" width="1.5703125" style="6" hidden="1" customWidth="1"/>
    <col min="34" max="34" width="17.7109375" style="6" hidden="1" customWidth="1"/>
    <col min="35" max="35" width="0.7109375" style="6" hidden="1" customWidth="1"/>
    <col min="36" max="36" width="18.28515625" style="6" hidden="1" customWidth="1"/>
    <col min="37" max="37" width="0.85546875" style="6" hidden="1" customWidth="1"/>
    <col min="38" max="38" width="20.42578125" style="6" hidden="1" customWidth="1"/>
    <col min="39" max="39" width="0.85546875" style="6" hidden="1" customWidth="1"/>
    <col min="40" max="40" width="17.85546875" style="6" hidden="1" customWidth="1"/>
    <col min="41" max="41" width="0.85546875" style="6" hidden="1" customWidth="1"/>
    <col min="42" max="42" width="17.85546875" style="6" hidden="1" customWidth="1"/>
    <col min="43" max="43" width="0.85546875" style="6" hidden="1" customWidth="1"/>
    <col min="44" max="44" width="17.85546875" style="6" hidden="1" customWidth="1"/>
    <col min="45" max="45" width="0.85546875" style="6" hidden="1" customWidth="1"/>
    <col min="46" max="46" width="17.85546875" style="6" hidden="1" customWidth="1"/>
    <col min="47" max="47" width="0.7109375" style="6" hidden="1" customWidth="1"/>
    <col min="48" max="48" width="17.85546875" style="6" hidden="1" customWidth="1"/>
    <col min="49" max="49" width="0.85546875" style="6" hidden="1" customWidth="1"/>
    <col min="50" max="50" width="17.85546875" style="6" hidden="1" customWidth="1"/>
    <col min="51" max="51" width="0.85546875" style="6" hidden="1" customWidth="1"/>
    <col min="52" max="52" width="17.85546875" style="6" hidden="1" customWidth="1"/>
    <col min="53" max="53" width="0.85546875" style="6" customWidth="1"/>
    <col min="54" max="54" width="17.7109375" style="6" hidden="1" customWidth="1"/>
    <col min="55" max="55" width="0.85546875" hidden="1" customWidth="1"/>
    <col min="56" max="56" width="18.5703125" style="6" hidden="1" customWidth="1"/>
    <col min="57" max="57" width="0.85546875" hidden="1" customWidth="1"/>
    <col min="58" max="58" width="17.28515625" style="6" hidden="1" customWidth="1"/>
    <col min="59" max="59" width="0.85546875" style="6" hidden="1" customWidth="1"/>
    <col min="60" max="60" width="17.85546875" style="6" hidden="1" customWidth="1"/>
    <col min="61" max="61" width="0.85546875" style="6" hidden="1" customWidth="1"/>
    <col min="62" max="62" width="17.85546875" style="6" hidden="1" customWidth="1"/>
    <col min="63" max="63" width="0.85546875" style="6" customWidth="1"/>
    <col min="64" max="64" width="18.5703125" style="65" hidden="1" customWidth="1"/>
    <col min="65" max="65" width="2.28515625" style="4" hidden="1" customWidth="1"/>
    <col min="66" max="66" width="21.5703125" style="65" hidden="1" customWidth="1"/>
    <col min="67" max="67" width="2.28515625" style="4" customWidth="1"/>
    <col min="68" max="68" width="20.85546875" style="6" customWidth="1"/>
    <col min="69" max="69" width="0.85546875" style="4" customWidth="1"/>
    <col min="70" max="70" width="19.140625" style="65" customWidth="1"/>
    <col min="71" max="71" width="0.85546875" style="4" customWidth="1"/>
    <col min="72" max="72" width="23.42578125" style="6" bestFit="1" customWidth="1"/>
    <col min="73" max="73" width="1.7109375" style="6" customWidth="1"/>
    <col min="74" max="74" width="20.85546875" style="6" customWidth="1"/>
    <col min="75" max="75" width="1.7109375" style="6" customWidth="1"/>
    <col min="76" max="76" width="15.85546875" style="6" customWidth="1"/>
    <col min="77" max="77" width="0.85546875" style="4" customWidth="1"/>
    <col min="78" max="78" width="75.85546875" style="4" hidden="1" customWidth="1"/>
    <col min="79" max="16384" width="9.140625" style="4"/>
  </cols>
  <sheetData>
    <row r="1" spans="1:78" s="18" customFormat="1" ht="15.75">
      <c r="A1" s="277" t="str">
        <f>+Summary!A1</f>
        <v>ENRON CAPITAL &amp; TRADE RESOURCES</v>
      </c>
      <c r="B1" s="3"/>
      <c r="C1" s="119"/>
      <c r="D1" s="122"/>
      <c r="E1" s="123"/>
      <c r="F1" s="122"/>
      <c r="G1" s="123"/>
      <c r="H1" s="122"/>
      <c r="I1" s="123"/>
      <c r="J1" s="123"/>
      <c r="K1" s="122"/>
      <c r="L1" s="134"/>
      <c r="M1" s="122"/>
      <c r="N1" s="124"/>
      <c r="O1" s="122"/>
      <c r="P1" s="124"/>
      <c r="R1" s="68"/>
      <c r="T1" s="81"/>
      <c r="U1" s="96"/>
      <c r="V1" s="81"/>
      <c r="W1" s="68"/>
      <c r="X1" s="81"/>
      <c r="Y1" s="68"/>
      <c r="Z1" s="81"/>
      <c r="AA1" s="68"/>
      <c r="AB1" s="81"/>
      <c r="AC1" s="68"/>
      <c r="AD1" s="81"/>
      <c r="AE1" s="68"/>
      <c r="AF1" s="68"/>
      <c r="AG1" s="68"/>
      <c r="AH1" s="68"/>
      <c r="AI1" s="68"/>
      <c r="AJ1" s="68"/>
      <c r="AK1" s="68"/>
      <c r="AL1" s="68"/>
      <c r="AM1" s="68"/>
      <c r="AN1" s="68"/>
      <c r="AO1" s="68"/>
      <c r="AP1" s="68"/>
      <c r="AQ1" s="68"/>
      <c r="AR1" s="68" t="s">
        <v>338</v>
      </c>
      <c r="AS1" s="68"/>
      <c r="AT1" s="68"/>
      <c r="AU1" s="68"/>
      <c r="AV1" s="68"/>
      <c r="AW1" s="68"/>
      <c r="AX1" s="68"/>
      <c r="AY1" s="68"/>
      <c r="AZ1" s="68"/>
      <c r="BA1" s="68"/>
      <c r="BB1" s="68"/>
      <c r="BC1"/>
      <c r="BD1" s="68"/>
      <c r="BE1"/>
      <c r="BF1" s="68"/>
      <c r="BG1" s="68"/>
      <c r="BH1" s="68"/>
      <c r="BI1" s="68"/>
      <c r="BJ1" s="68"/>
      <c r="BK1" s="68"/>
      <c r="BL1" s="81"/>
      <c r="BN1" s="81"/>
      <c r="BP1" s="78"/>
      <c r="BR1" s="81"/>
      <c r="BT1" s="78"/>
      <c r="BU1" s="78"/>
      <c r="BV1" s="78"/>
      <c r="BW1" s="78"/>
      <c r="BX1" s="68"/>
    </row>
    <row r="2" spans="1:78" s="18" customFormat="1" ht="15.75">
      <c r="A2" s="277" t="str">
        <f>+Summary!A2</f>
        <v>Energy Services</v>
      </c>
      <c r="B2" s="3"/>
      <c r="C2" s="119"/>
      <c r="D2" s="122"/>
      <c r="E2" s="123"/>
      <c r="F2" s="122"/>
      <c r="G2" s="123"/>
      <c r="H2" s="122"/>
      <c r="I2" s="123"/>
      <c r="J2" s="123"/>
      <c r="K2" s="122"/>
      <c r="L2" s="134"/>
      <c r="M2" s="122"/>
      <c r="N2" s="124"/>
      <c r="O2" s="122"/>
      <c r="P2" s="124"/>
      <c r="R2" s="68"/>
      <c r="T2" s="81"/>
      <c r="U2" s="96"/>
      <c r="V2" s="81"/>
      <c r="W2" s="68"/>
      <c r="X2" s="81"/>
      <c r="Y2" s="68"/>
      <c r="Z2" s="81"/>
      <c r="AA2" s="68"/>
      <c r="AB2" s="81"/>
      <c r="AC2" s="68"/>
      <c r="AD2" s="81"/>
      <c r="AE2" s="68"/>
      <c r="AF2" s="68"/>
      <c r="AG2" s="68"/>
      <c r="AH2" s="68"/>
      <c r="AI2" s="68"/>
      <c r="AJ2" s="68"/>
      <c r="AK2" s="68"/>
      <c r="AL2" s="68"/>
      <c r="AM2" s="68"/>
      <c r="AN2" s="68"/>
      <c r="AO2" s="68"/>
      <c r="AP2" s="68"/>
      <c r="AQ2" s="68"/>
      <c r="AR2" s="68"/>
      <c r="AS2" s="68"/>
      <c r="AT2" s="68"/>
      <c r="AU2" s="68"/>
      <c r="AV2" s="68"/>
      <c r="AW2" s="68"/>
      <c r="AX2" s="68"/>
      <c r="AY2" s="68"/>
      <c r="AZ2" s="68"/>
      <c r="BA2" s="68"/>
      <c r="BB2" s="68"/>
      <c r="BC2"/>
      <c r="BD2" s="68"/>
      <c r="BE2"/>
      <c r="BF2" s="68"/>
      <c r="BG2" s="68"/>
      <c r="BH2" s="68"/>
      <c r="BI2" s="68"/>
      <c r="BJ2" s="68"/>
      <c r="BK2" s="68"/>
      <c r="BL2" s="81"/>
      <c r="BN2" s="81"/>
      <c r="BP2" s="68"/>
      <c r="BR2" s="81"/>
      <c r="BT2" s="68"/>
      <c r="BU2" s="68"/>
      <c r="BV2" s="68"/>
      <c r="BW2" s="68"/>
      <c r="BX2" s="106" t="str">
        <f ca="1">CELL("filename")</f>
        <v>O:\Fin_Ops\Engysvc\PowerPlants\2000 Plants\Weekly Report\[2000 Weekly Report - 102300.xls]Summary</v>
      </c>
    </row>
    <row r="3" spans="1:78" s="18" customFormat="1" ht="15.75">
      <c r="A3" s="278" t="s">
        <v>290</v>
      </c>
      <c r="B3" s="3"/>
      <c r="C3" s="119"/>
      <c r="D3" s="122"/>
      <c r="E3" s="123"/>
      <c r="F3" s="122"/>
      <c r="G3" s="123"/>
      <c r="H3" s="122"/>
      <c r="I3" s="123"/>
      <c r="J3" s="123"/>
      <c r="K3" s="122"/>
      <c r="L3" s="135"/>
      <c r="M3" s="122"/>
      <c r="N3" s="125">
        <v>510</v>
      </c>
      <c r="O3" s="122"/>
      <c r="P3" s="126" t="s">
        <v>47</v>
      </c>
      <c r="R3" s="68"/>
      <c r="T3" s="81"/>
      <c r="U3" s="96"/>
      <c r="V3" s="81"/>
      <c r="W3" s="68"/>
      <c r="X3" s="81"/>
      <c r="Y3" s="68"/>
      <c r="Z3" s="81"/>
      <c r="AA3" s="68"/>
      <c r="AB3" s="81"/>
      <c r="AC3" s="68"/>
      <c r="AD3" s="81"/>
      <c r="AE3" s="68"/>
      <c r="AF3" s="68"/>
      <c r="AG3" s="68"/>
      <c r="AH3" s="68"/>
      <c r="AI3" s="68"/>
      <c r="AJ3" s="68"/>
      <c r="AK3" s="68"/>
      <c r="AL3" s="68"/>
      <c r="AM3" s="68"/>
      <c r="AN3" s="68"/>
      <c r="AO3" s="68"/>
      <c r="AP3" s="68"/>
      <c r="AQ3" s="68"/>
      <c r="AR3" s="68"/>
      <c r="AS3" s="68"/>
      <c r="AT3" s="68"/>
      <c r="AU3" s="68"/>
      <c r="AV3" s="68"/>
      <c r="AW3" s="68"/>
      <c r="AX3" s="68"/>
      <c r="AY3" s="68"/>
      <c r="AZ3" s="68"/>
      <c r="BA3" s="68"/>
      <c r="BB3" s="68"/>
      <c r="BC3"/>
      <c r="BD3" s="68"/>
      <c r="BE3"/>
      <c r="BF3" s="68"/>
      <c r="BG3" s="68"/>
      <c r="BH3" s="68"/>
      <c r="BI3" s="68"/>
      <c r="BJ3" s="68"/>
      <c r="BK3" s="68"/>
      <c r="BL3" s="81"/>
      <c r="BN3" s="81"/>
      <c r="BP3" s="23"/>
      <c r="BR3" s="81"/>
      <c r="BT3" s="23">
        <f ca="1">NOW()</f>
        <v>36822.429216898148</v>
      </c>
      <c r="BV3" s="23"/>
      <c r="BX3" s="78" t="str">
        <f>Summary!A5</f>
        <v>Revision # 66</v>
      </c>
    </row>
    <row r="4" spans="1:78" s="18" customFormat="1" ht="15.75">
      <c r="A4" s="279"/>
      <c r="B4" s="19">
        <f>Summary!C13</f>
        <v>509</v>
      </c>
      <c r="C4"/>
      <c r="G4" s="67"/>
      <c r="J4" s="67"/>
      <c r="L4" s="268" t="s">
        <v>47</v>
      </c>
      <c r="N4" s="69"/>
      <c r="O4" s="128" t="s">
        <v>407</v>
      </c>
      <c r="P4" s="69"/>
      <c r="R4" s="68"/>
      <c r="T4" s="81"/>
      <c r="U4" s="96"/>
      <c r="V4" s="82" t="s">
        <v>122</v>
      </c>
      <c r="W4" s="69"/>
      <c r="X4" s="82" t="s">
        <v>122</v>
      </c>
      <c r="Y4" s="69"/>
      <c r="Z4" s="82" t="s">
        <v>122</v>
      </c>
      <c r="AA4" s="69"/>
      <c r="AB4" s="82" t="s">
        <v>122</v>
      </c>
      <c r="AC4" s="69"/>
      <c r="AD4" s="82" t="s">
        <v>122</v>
      </c>
      <c r="AE4" s="69"/>
      <c r="AF4" s="82" t="s">
        <v>122</v>
      </c>
      <c r="AG4" s="69"/>
      <c r="AH4" s="82" t="s">
        <v>122</v>
      </c>
      <c r="AI4" s="69"/>
      <c r="AJ4" s="82" t="s">
        <v>122</v>
      </c>
      <c r="AK4" s="69"/>
      <c r="AL4" s="82" t="s">
        <v>122</v>
      </c>
      <c r="AM4" s="69"/>
      <c r="AN4" s="82" t="s">
        <v>122</v>
      </c>
      <c r="AO4" s="69"/>
      <c r="AP4" s="82" t="s">
        <v>122</v>
      </c>
      <c r="AQ4" s="69"/>
      <c r="AR4" s="82" t="s">
        <v>122</v>
      </c>
      <c r="AS4" s="69"/>
      <c r="AT4" s="82" t="s">
        <v>122</v>
      </c>
      <c r="AU4" s="69"/>
      <c r="AV4" s="82" t="s">
        <v>122</v>
      </c>
      <c r="AW4" s="82"/>
      <c r="AX4" s="82" t="s">
        <v>122</v>
      </c>
      <c r="AY4" s="82"/>
      <c r="AZ4" s="82" t="s">
        <v>122</v>
      </c>
      <c r="BA4" s="82"/>
      <c r="BB4" s="82" t="s">
        <v>122</v>
      </c>
      <c r="BC4"/>
      <c r="BD4" s="82" t="s">
        <v>122</v>
      </c>
      <c r="BE4"/>
      <c r="BF4" s="82" t="s">
        <v>122</v>
      </c>
      <c r="BG4" s="82"/>
      <c r="BH4" s="82" t="s">
        <v>122</v>
      </c>
      <c r="BI4" s="82"/>
      <c r="BJ4" s="82" t="s">
        <v>122</v>
      </c>
      <c r="BK4" s="82"/>
      <c r="BL4" s="82" t="s">
        <v>122</v>
      </c>
      <c r="BN4" s="82" t="s">
        <v>122</v>
      </c>
      <c r="BP4" s="71"/>
      <c r="BR4" s="70" t="s">
        <v>129</v>
      </c>
      <c r="BT4" s="71"/>
      <c r="BV4" s="71"/>
      <c r="BX4" s="71"/>
    </row>
    <row r="5" spans="1:78" s="18" customFormat="1" ht="15.75">
      <c r="A5" s="280" t="str">
        <f>Summary!A5</f>
        <v>Revision # 66</v>
      </c>
      <c r="G5" s="67"/>
      <c r="J5" s="67"/>
      <c r="L5" s="136" t="s">
        <v>201</v>
      </c>
      <c r="N5" s="70" t="s">
        <v>0</v>
      </c>
      <c r="O5" s="128"/>
      <c r="P5" s="70" t="s">
        <v>130</v>
      </c>
      <c r="R5" s="71" t="s">
        <v>0</v>
      </c>
      <c r="T5" s="82" t="s">
        <v>44</v>
      </c>
      <c r="U5" s="96"/>
      <c r="V5" s="82" t="s">
        <v>123</v>
      </c>
      <c r="W5" s="69"/>
      <c r="X5" s="82" t="s">
        <v>123</v>
      </c>
      <c r="Y5" s="69"/>
      <c r="Z5" s="82" t="s">
        <v>123</v>
      </c>
      <c r="AA5" s="69"/>
      <c r="AB5" s="82" t="s">
        <v>123</v>
      </c>
      <c r="AC5" s="69"/>
      <c r="AD5" s="82" t="s">
        <v>123</v>
      </c>
      <c r="AE5" s="69"/>
      <c r="AF5" s="82" t="s">
        <v>123</v>
      </c>
      <c r="AG5" s="69"/>
      <c r="AH5" s="82" t="s">
        <v>123</v>
      </c>
      <c r="AI5" s="69"/>
      <c r="AJ5" s="82" t="s">
        <v>123</v>
      </c>
      <c r="AK5" s="69"/>
      <c r="AL5" s="82" t="s">
        <v>123</v>
      </c>
      <c r="AM5" s="69"/>
      <c r="AN5" s="82" t="s">
        <v>123</v>
      </c>
      <c r="AO5" s="69"/>
      <c r="AP5" s="82" t="s">
        <v>123</v>
      </c>
      <c r="AQ5" s="69"/>
      <c r="AR5" s="82" t="s">
        <v>123</v>
      </c>
      <c r="AS5" s="69"/>
      <c r="AT5" s="82" t="s">
        <v>123</v>
      </c>
      <c r="AU5" s="69"/>
      <c r="AV5" s="82" t="s">
        <v>123</v>
      </c>
      <c r="AW5" s="82"/>
      <c r="AX5" s="82" t="s">
        <v>123</v>
      </c>
      <c r="AY5" s="82"/>
      <c r="AZ5" s="82" t="s">
        <v>123</v>
      </c>
      <c r="BA5" s="82"/>
      <c r="BB5" s="82" t="s">
        <v>123</v>
      </c>
      <c r="BC5"/>
      <c r="BD5" s="82" t="s">
        <v>123</v>
      </c>
      <c r="BE5"/>
      <c r="BF5" s="82" t="s">
        <v>123</v>
      </c>
      <c r="BG5" s="82"/>
      <c r="BH5" s="82" t="s">
        <v>123</v>
      </c>
      <c r="BI5" s="82"/>
      <c r="BJ5" s="82" t="s">
        <v>123</v>
      </c>
      <c r="BK5" s="82"/>
      <c r="BL5" s="82" t="s">
        <v>123</v>
      </c>
      <c r="BN5" s="82" t="s">
        <v>123</v>
      </c>
      <c r="BP5" s="71" t="s">
        <v>44</v>
      </c>
      <c r="BR5" s="70" t="s">
        <v>130</v>
      </c>
      <c r="BT5" s="71" t="s">
        <v>42</v>
      </c>
      <c r="BV5" s="71" t="s">
        <v>144</v>
      </c>
      <c r="BX5" s="71"/>
    </row>
    <row r="6" spans="1:78" s="18" customFormat="1" ht="15.75">
      <c r="A6" s="280"/>
      <c r="C6" s="76" t="s">
        <v>173</v>
      </c>
      <c r="E6" s="76" t="s">
        <v>1</v>
      </c>
      <c r="G6" s="76" t="s">
        <v>2</v>
      </c>
      <c r="I6" s="76" t="s">
        <v>3</v>
      </c>
      <c r="J6" s="152"/>
      <c r="L6" s="73" t="s">
        <v>202</v>
      </c>
      <c r="N6" s="129" t="s">
        <v>186</v>
      </c>
      <c r="O6" s="128"/>
      <c r="P6" s="129" t="s">
        <v>131</v>
      </c>
      <c r="R6" s="72" t="s">
        <v>43</v>
      </c>
      <c r="T6" s="83">
        <v>36160</v>
      </c>
      <c r="U6" s="96"/>
      <c r="V6" s="83">
        <v>36191</v>
      </c>
      <c r="W6" s="74"/>
      <c r="X6" s="83">
        <v>36219</v>
      </c>
      <c r="Y6" s="74"/>
      <c r="Z6" s="83">
        <v>36250</v>
      </c>
      <c r="AA6" s="74"/>
      <c r="AB6" s="83">
        <v>36280</v>
      </c>
      <c r="AC6" s="74"/>
      <c r="AD6" s="83">
        <v>36311</v>
      </c>
      <c r="AE6" s="74"/>
      <c r="AF6" s="83">
        <v>36341</v>
      </c>
      <c r="AG6" s="74"/>
      <c r="AH6" s="83">
        <v>36372</v>
      </c>
      <c r="AI6" s="74"/>
      <c r="AJ6" s="83">
        <v>36403</v>
      </c>
      <c r="AK6" s="74"/>
      <c r="AL6" s="83" t="s">
        <v>288</v>
      </c>
      <c r="AM6" s="74"/>
      <c r="AN6" s="83">
        <v>36433</v>
      </c>
      <c r="AO6" s="74"/>
      <c r="AP6" s="83">
        <v>36464</v>
      </c>
      <c r="AQ6" s="74"/>
      <c r="AR6" s="83">
        <v>36494</v>
      </c>
      <c r="AS6" s="74"/>
      <c r="AT6" s="83">
        <v>36525</v>
      </c>
      <c r="AU6" s="74"/>
      <c r="AV6" s="83">
        <v>36556</v>
      </c>
      <c r="AW6" s="127"/>
      <c r="AX6" s="83">
        <v>36585</v>
      </c>
      <c r="AY6" s="127"/>
      <c r="AZ6" s="83">
        <v>36616</v>
      </c>
      <c r="BA6" s="127"/>
      <c r="BB6" s="83">
        <v>36646</v>
      </c>
      <c r="BC6"/>
      <c r="BD6" s="83">
        <v>36677</v>
      </c>
      <c r="BE6"/>
      <c r="BF6" s="83">
        <v>36707</v>
      </c>
      <c r="BG6" s="127"/>
      <c r="BH6" s="83">
        <v>36738</v>
      </c>
      <c r="BI6" s="127"/>
      <c r="BJ6" s="83">
        <v>36769</v>
      </c>
      <c r="BK6" s="127"/>
      <c r="BL6" s="83">
        <v>36799</v>
      </c>
      <c r="BN6" s="83">
        <v>36830</v>
      </c>
      <c r="BP6" s="75" t="s">
        <v>126</v>
      </c>
      <c r="BR6" s="73" t="s">
        <v>131</v>
      </c>
      <c r="BT6" s="75" t="s">
        <v>38</v>
      </c>
      <c r="BV6" s="75" t="s">
        <v>145</v>
      </c>
      <c r="BX6" s="75" t="s">
        <v>39</v>
      </c>
      <c r="BZ6" s="75" t="s">
        <v>4</v>
      </c>
    </row>
    <row r="7" spans="1:78" s="18" customFormat="1" ht="15.75">
      <c r="A7" s="280"/>
      <c r="B7" s="1"/>
      <c r="C7" s="2"/>
      <c r="G7" s="67"/>
      <c r="J7" s="67"/>
      <c r="L7" s="137"/>
      <c r="N7" s="82" t="e">
        <f>#REF!</f>
        <v>#REF!</v>
      </c>
      <c r="O7" s="128"/>
      <c r="P7" s="69"/>
      <c r="R7" s="82" t="str">
        <f>+Summary!E9</f>
        <v>as of 7/22/99</v>
      </c>
      <c r="T7" s="82" t="str">
        <f>+Summary!$O$4</f>
        <v xml:space="preserve"> As of 10/20/00</v>
      </c>
      <c r="U7" s="96"/>
      <c r="V7" s="82" t="str">
        <f>+Summary!$O$4</f>
        <v xml:space="preserve"> As of 10/20/00</v>
      </c>
      <c r="W7" s="69"/>
      <c r="X7" s="82" t="str">
        <f>+Summary!$O$4</f>
        <v xml:space="preserve"> As of 10/20/00</v>
      </c>
      <c r="Y7" s="69"/>
      <c r="Z7" s="82" t="str">
        <f>+Summary!$O$4</f>
        <v xml:space="preserve"> As of 10/20/00</v>
      </c>
      <c r="AA7" s="69"/>
      <c r="AB7" s="82" t="str">
        <f>+Summary!$O$4</f>
        <v xml:space="preserve"> As of 10/20/00</v>
      </c>
      <c r="AC7" s="69"/>
      <c r="AD7" s="82" t="str">
        <f>+Summary!$O$4</f>
        <v xml:space="preserve"> As of 10/20/00</v>
      </c>
      <c r="AE7" s="69"/>
      <c r="AF7" s="82" t="str">
        <f>+Summary!$O$4</f>
        <v xml:space="preserve"> As of 10/20/00</v>
      </c>
      <c r="AG7" s="69"/>
      <c r="AH7" s="82" t="str">
        <f>+Summary!$O$4</f>
        <v xml:space="preserve"> As of 10/20/00</v>
      </c>
      <c r="AI7" s="69"/>
      <c r="AJ7" s="82" t="str">
        <f>+Summary!$O$4</f>
        <v xml:space="preserve"> As of 10/20/00</v>
      </c>
      <c r="AK7" s="69"/>
      <c r="AL7" s="82" t="str">
        <f>+Summary!$O$4</f>
        <v xml:space="preserve"> As of 10/20/00</v>
      </c>
      <c r="AM7" s="69"/>
      <c r="AN7" s="82" t="str">
        <f>+Summary!$O$4</f>
        <v xml:space="preserve"> As of 10/20/00</v>
      </c>
      <c r="AO7" s="69"/>
      <c r="AP7" s="82" t="str">
        <f>+Summary!$O$4</f>
        <v xml:space="preserve"> As of 10/20/00</v>
      </c>
      <c r="AQ7" s="69"/>
      <c r="AR7" s="82" t="str">
        <f>+Summary!$O$4</f>
        <v xml:space="preserve"> As of 10/20/00</v>
      </c>
      <c r="AS7" s="69"/>
      <c r="AT7" s="82" t="str">
        <f>+Summary!$O$4</f>
        <v xml:space="preserve"> As of 10/20/00</v>
      </c>
      <c r="AU7" s="69"/>
      <c r="AV7" s="82" t="str">
        <f>+Summary!$O$4</f>
        <v xml:space="preserve"> As of 10/20/00</v>
      </c>
      <c r="AW7" s="82"/>
      <c r="AX7" s="82" t="str">
        <f>+Summary!$O$4</f>
        <v xml:space="preserve"> As of 10/20/00</v>
      </c>
      <c r="AY7" s="82"/>
      <c r="AZ7" s="82" t="str">
        <f>+Summary!$O$4</f>
        <v xml:space="preserve"> As of 10/20/00</v>
      </c>
      <c r="BA7" s="82"/>
      <c r="BB7" s="82" t="str">
        <f>BR7</f>
        <v xml:space="preserve"> As of 10/20/00</v>
      </c>
      <c r="BC7"/>
      <c r="BD7" s="82" t="str">
        <f>+Summary!$O$4</f>
        <v xml:space="preserve"> As of 10/20/00</v>
      </c>
      <c r="BE7"/>
      <c r="BF7" s="82" t="str">
        <f>+Summary!$O$4</f>
        <v xml:space="preserve"> As of 10/20/00</v>
      </c>
      <c r="BG7" s="82"/>
      <c r="BH7" s="82" t="str">
        <f>+Summary!$O$4</f>
        <v xml:space="preserve"> As of 10/20/00</v>
      </c>
      <c r="BI7" s="82"/>
      <c r="BJ7" s="82" t="str">
        <f>+Summary!$O$4</f>
        <v xml:space="preserve"> As of 10/20/00</v>
      </c>
      <c r="BK7" s="82"/>
      <c r="BL7" s="82" t="str">
        <f>+Summary!$O$4</f>
        <v xml:space="preserve"> As of 10/20/00</v>
      </c>
      <c r="BN7" s="82" t="str">
        <f>+Summary!$O$4</f>
        <v xml:space="preserve"> As of 10/20/00</v>
      </c>
      <c r="BP7" s="257" t="str">
        <f>+Summary!$O$4</f>
        <v xml:space="preserve"> As of 10/20/00</v>
      </c>
      <c r="BR7" s="64" t="str">
        <f>+Summary!$O$4</f>
        <v xml:space="preserve"> As of 10/20/00</v>
      </c>
      <c r="BT7" s="71"/>
      <c r="BV7" s="71"/>
      <c r="BX7" s="71"/>
    </row>
    <row r="8" spans="1:78">
      <c r="A8" s="58" t="s">
        <v>5</v>
      </c>
      <c r="B8" s="17"/>
      <c r="C8" s="55"/>
      <c r="E8" s="4"/>
      <c r="G8" s="4"/>
      <c r="I8" s="4"/>
      <c r="L8" s="138"/>
      <c r="M8" s="6"/>
      <c r="O8" s="6"/>
      <c r="Q8" s="6"/>
      <c r="S8" s="6"/>
      <c r="T8" s="22"/>
      <c r="U8" s="6"/>
      <c r="V8" s="22"/>
      <c r="X8" s="22"/>
      <c r="Z8" s="22"/>
      <c r="AB8" s="22"/>
      <c r="AD8" s="22"/>
      <c r="AF8" s="22"/>
      <c r="AH8" s="22"/>
      <c r="AJ8" s="22"/>
      <c r="AL8" s="22"/>
      <c r="AN8" s="22"/>
      <c r="AP8" s="22"/>
      <c r="AR8" s="22"/>
      <c r="AT8" s="22"/>
      <c r="AV8" s="22"/>
      <c r="AW8" s="22"/>
      <c r="AX8" s="22"/>
      <c r="AY8" s="22"/>
      <c r="AZ8" s="22"/>
      <c r="BA8" s="22"/>
      <c r="BB8" s="22"/>
      <c r="BD8" s="22"/>
      <c r="BF8" s="22"/>
      <c r="BG8" s="22"/>
      <c r="BH8" s="22"/>
      <c r="BI8" s="22"/>
      <c r="BJ8" s="22"/>
      <c r="BK8" s="22"/>
      <c r="BL8" s="22"/>
      <c r="BM8" s="6"/>
      <c r="BN8" s="22"/>
      <c r="BO8" s="6"/>
      <c r="BQ8" s="6"/>
      <c r="BR8" s="22"/>
      <c r="BS8" s="6"/>
      <c r="BY8" s="6"/>
    </row>
    <row r="9" spans="1:78">
      <c r="A9" s="100"/>
      <c r="B9" s="17" t="s">
        <v>191</v>
      </c>
      <c r="C9"/>
      <c r="D9"/>
      <c r="E9"/>
      <c r="F9"/>
      <c r="G9"/>
      <c r="H9"/>
      <c r="I9"/>
      <c r="J9" s="49" t="s">
        <v>0</v>
      </c>
      <c r="K9"/>
      <c r="L9" s="132" t="s">
        <v>202</v>
      </c>
      <c r="M9" s="6"/>
      <c r="N9" s="6">
        <v>0</v>
      </c>
      <c r="O9" s="6"/>
      <c r="P9" s="6">
        <v>0</v>
      </c>
      <c r="Q9" s="6"/>
      <c r="R9" s="6">
        <v>62145000</v>
      </c>
      <c r="S9" s="6"/>
      <c r="T9" s="6">
        <v>0</v>
      </c>
      <c r="U9" s="6"/>
      <c r="V9" s="6">
        <v>0</v>
      </c>
      <c r="X9" s="6">
        <v>0</v>
      </c>
      <c r="Z9" s="6">
        <v>0</v>
      </c>
      <c r="AB9" s="6">
        <v>0</v>
      </c>
      <c r="AD9" s="6">
        <v>0</v>
      </c>
      <c r="AF9" s="6">
        <v>0</v>
      </c>
      <c r="AH9" s="6">
        <v>0</v>
      </c>
      <c r="AJ9" s="6">
        <v>0</v>
      </c>
      <c r="AL9" s="6">
        <v>56349430</v>
      </c>
      <c r="AN9" s="6">
        <v>0</v>
      </c>
      <c r="AP9" s="6">
        <v>1282310</v>
      </c>
      <c r="AR9" s="6">
        <v>144155</v>
      </c>
      <c r="AT9" s="6">
        <v>0</v>
      </c>
      <c r="AV9" s="6">
        <v>0</v>
      </c>
      <c r="AX9" s="6">
        <v>0</v>
      </c>
      <c r="AZ9" s="6">
        <v>1240525</v>
      </c>
      <c r="BB9" s="6">
        <v>0</v>
      </c>
      <c r="BD9" s="6">
        <v>1735000.05</v>
      </c>
      <c r="BF9" s="6">
        <f>1633000+1025570</f>
        <v>2658570</v>
      </c>
      <c r="BH9" s="6">
        <v>0</v>
      </c>
      <c r="BJ9" s="6">
        <v>0</v>
      </c>
      <c r="BL9" s="6">
        <v>0</v>
      </c>
      <c r="BM9" s="6"/>
      <c r="BN9" s="6">
        <v>0</v>
      </c>
      <c r="BO9" s="6"/>
      <c r="BP9" s="6">
        <f t="shared" ref="BP9:BP14" si="0">SUM(T9:BO9)</f>
        <v>63409990.049999997</v>
      </c>
      <c r="BQ9" s="6"/>
      <c r="BR9" s="6">
        <f>62515521-R9</f>
        <v>370521</v>
      </c>
      <c r="BS9" s="6"/>
      <c r="BT9" s="6">
        <f t="shared" ref="BT9:BT15" si="1">IF(+R9-BP9+BR9&gt;0,R9-BP9+BR9,0)</f>
        <v>0</v>
      </c>
      <c r="BV9" s="6">
        <f t="shared" ref="BV9:BV14" si="2">+BP9+BT9</f>
        <v>63409990.049999997</v>
      </c>
      <c r="BX9" s="6">
        <f t="shared" ref="BX9:BX15" si="3">+R9-BV9</f>
        <v>-1264990.049999997</v>
      </c>
      <c r="BY9" s="6"/>
    </row>
    <row r="10" spans="1:78">
      <c r="A10" s="100"/>
      <c r="B10" s="17" t="s">
        <v>192</v>
      </c>
      <c r="C10"/>
      <c r="D10"/>
      <c r="E10"/>
      <c r="F10"/>
      <c r="G10"/>
      <c r="H10"/>
      <c r="I10"/>
      <c r="J10" s="49" t="s">
        <v>0</v>
      </c>
      <c r="K10"/>
      <c r="L10" s="132" t="s">
        <v>202</v>
      </c>
      <c r="M10" s="6"/>
      <c r="N10" s="6">
        <v>0</v>
      </c>
      <c r="O10" s="6"/>
      <c r="P10" s="6">
        <v>0</v>
      </c>
      <c r="Q10" s="6"/>
      <c r="R10" s="6">
        <v>31185000</v>
      </c>
      <c r="S10" s="6"/>
      <c r="T10" s="6">
        <v>0</v>
      </c>
      <c r="U10" s="6"/>
      <c r="V10" s="6">
        <v>0</v>
      </c>
      <c r="X10" s="6">
        <v>0</v>
      </c>
      <c r="Z10" s="6"/>
      <c r="AB10" s="6"/>
      <c r="AD10" s="6"/>
      <c r="AF10" s="6">
        <v>0</v>
      </c>
      <c r="AH10" s="6">
        <v>0</v>
      </c>
      <c r="AJ10" s="6">
        <v>0</v>
      </c>
      <c r="AL10" s="6">
        <v>29625750</v>
      </c>
      <c r="AN10" s="6">
        <v>0</v>
      </c>
      <c r="AP10" s="6">
        <v>0</v>
      </c>
      <c r="AR10" s="6">
        <v>0</v>
      </c>
      <c r="AT10" s="6">
        <v>0</v>
      </c>
      <c r="AV10" s="6">
        <v>0</v>
      </c>
      <c r="AX10" s="6">
        <v>0</v>
      </c>
      <c r="AZ10" s="6">
        <v>0</v>
      </c>
      <c r="BB10" s="6">
        <v>0</v>
      </c>
      <c r="BD10" s="6">
        <v>0</v>
      </c>
      <c r="BF10" s="6">
        <v>0</v>
      </c>
      <c r="BH10" s="6">
        <v>0</v>
      </c>
      <c r="BJ10" s="6">
        <v>0</v>
      </c>
      <c r="BL10" s="6">
        <v>0</v>
      </c>
      <c r="BM10" s="6"/>
      <c r="BN10" s="6">
        <v>0</v>
      </c>
      <c r="BO10" s="6"/>
      <c r="BP10" s="6">
        <f t="shared" si="0"/>
        <v>29625750</v>
      </c>
      <c r="BQ10" s="6"/>
      <c r="BR10" s="6">
        <f>32649500-R10</f>
        <v>1464500</v>
      </c>
      <c r="BS10" s="6"/>
      <c r="BT10" s="6">
        <f t="shared" si="1"/>
        <v>3023750</v>
      </c>
      <c r="BV10" s="6">
        <f t="shared" si="2"/>
        <v>32649500</v>
      </c>
      <c r="BX10" s="6">
        <f t="shared" si="3"/>
        <v>-1464500</v>
      </c>
      <c r="BY10" s="6"/>
    </row>
    <row r="11" spans="1:78" hidden="1">
      <c r="A11" s="100"/>
      <c r="B11" s="17" t="s">
        <v>171</v>
      </c>
      <c r="C11"/>
      <c r="D11"/>
      <c r="E11"/>
      <c r="F11"/>
      <c r="G11"/>
      <c r="H11"/>
      <c r="I11"/>
      <c r="J11" s="49" t="s">
        <v>0</v>
      </c>
      <c r="K11"/>
      <c r="L11" s="132" t="s">
        <v>202</v>
      </c>
      <c r="M11" s="6"/>
      <c r="N11" s="6">
        <v>0</v>
      </c>
      <c r="O11" s="6"/>
      <c r="P11" s="6">
        <v>0</v>
      </c>
      <c r="Q11" s="6"/>
      <c r="R11" s="6">
        <f>+N11+P11</f>
        <v>0</v>
      </c>
      <c r="S11" s="6"/>
      <c r="T11" s="6">
        <v>0</v>
      </c>
      <c r="U11" s="6"/>
      <c r="V11" s="6">
        <v>0</v>
      </c>
      <c r="X11" s="6">
        <v>0</v>
      </c>
      <c r="Z11" s="6">
        <v>0</v>
      </c>
      <c r="AB11" s="6">
        <v>0</v>
      </c>
      <c r="AD11" s="6">
        <v>0</v>
      </c>
      <c r="AF11" s="6">
        <v>0</v>
      </c>
      <c r="AH11" s="6">
        <v>0</v>
      </c>
      <c r="AJ11" s="6">
        <v>0</v>
      </c>
      <c r="AN11" s="6">
        <v>0</v>
      </c>
      <c r="AP11" s="6">
        <v>0</v>
      </c>
      <c r="AR11" s="6">
        <v>0</v>
      </c>
      <c r="AT11" s="6">
        <v>0</v>
      </c>
      <c r="AV11" s="6">
        <v>0</v>
      </c>
      <c r="AX11" s="6">
        <v>0</v>
      </c>
      <c r="AZ11" s="6">
        <v>0</v>
      </c>
      <c r="BB11" s="6">
        <v>0</v>
      </c>
      <c r="BD11" s="6">
        <v>0</v>
      </c>
      <c r="BF11" s="6">
        <v>0</v>
      </c>
      <c r="BH11" s="6">
        <v>0</v>
      </c>
      <c r="BJ11" s="6">
        <v>0</v>
      </c>
      <c r="BL11" s="6">
        <v>0</v>
      </c>
      <c r="BM11" s="6"/>
      <c r="BN11" s="6">
        <v>0</v>
      </c>
      <c r="BO11" s="6"/>
      <c r="BP11" s="6">
        <f t="shared" si="0"/>
        <v>0</v>
      </c>
      <c r="BQ11" s="6"/>
      <c r="BR11" s="6">
        <v>0</v>
      </c>
      <c r="BS11" s="6"/>
      <c r="BT11" s="6">
        <f t="shared" si="1"/>
        <v>0</v>
      </c>
      <c r="BV11" s="6">
        <f t="shared" si="2"/>
        <v>0</v>
      </c>
      <c r="BX11" s="6">
        <f t="shared" si="3"/>
        <v>0</v>
      </c>
      <c r="BY11" s="6"/>
    </row>
    <row r="12" spans="1:78" hidden="1">
      <c r="A12" s="100"/>
      <c r="B12" s="17" t="s">
        <v>172</v>
      </c>
      <c r="C12"/>
      <c r="D12"/>
      <c r="E12"/>
      <c r="F12"/>
      <c r="G12"/>
      <c r="H12"/>
      <c r="I12"/>
      <c r="J12" s="49" t="s">
        <v>0</v>
      </c>
      <c r="K12"/>
      <c r="L12" s="132" t="s">
        <v>202</v>
      </c>
      <c r="M12" s="6"/>
      <c r="N12" s="6">
        <v>0</v>
      </c>
      <c r="O12" s="6"/>
      <c r="P12" s="6">
        <v>0</v>
      </c>
      <c r="Q12" s="6"/>
      <c r="R12" s="6">
        <f>+N12+P12</f>
        <v>0</v>
      </c>
      <c r="S12" s="6"/>
      <c r="T12" s="6">
        <v>0</v>
      </c>
      <c r="U12" s="6"/>
      <c r="V12" s="6">
        <v>0</v>
      </c>
      <c r="X12" s="6">
        <v>0</v>
      </c>
      <c r="Z12" s="6">
        <v>0</v>
      </c>
      <c r="AB12" s="6">
        <v>0</v>
      </c>
      <c r="AD12" s="6">
        <v>0</v>
      </c>
      <c r="AF12" s="6">
        <v>0</v>
      </c>
      <c r="AH12" s="6">
        <v>0</v>
      </c>
      <c r="AJ12" s="6">
        <v>0</v>
      </c>
      <c r="AN12" s="6">
        <v>0</v>
      </c>
      <c r="AP12" s="6">
        <v>0</v>
      </c>
      <c r="AR12" s="6">
        <v>0</v>
      </c>
      <c r="AT12" s="6">
        <v>0</v>
      </c>
      <c r="AV12" s="6">
        <v>0</v>
      </c>
      <c r="AX12" s="6">
        <v>0</v>
      </c>
      <c r="AZ12" s="6">
        <v>0</v>
      </c>
      <c r="BB12" s="6">
        <v>0</v>
      </c>
      <c r="BD12" s="6">
        <v>0</v>
      </c>
      <c r="BF12" s="6">
        <v>0</v>
      </c>
      <c r="BH12" s="6">
        <v>0</v>
      </c>
      <c r="BJ12" s="6">
        <v>0</v>
      </c>
      <c r="BL12" s="6">
        <v>0</v>
      </c>
      <c r="BM12" s="6"/>
      <c r="BN12" s="6">
        <v>0</v>
      </c>
      <c r="BO12" s="6"/>
      <c r="BP12" s="6">
        <f t="shared" si="0"/>
        <v>0</v>
      </c>
      <c r="BQ12" s="6"/>
      <c r="BR12" s="6">
        <v>0</v>
      </c>
      <c r="BS12" s="6"/>
      <c r="BT12" s="6">
        <f t="shared" si="1"/>
        <v>0</v>
      </c>
      <c r="BV12" s="6">
        <f t="shared" si="2"/>
        <v>0</v>
      </c>
      <c r="BX12" s="6">
        <f t="shared" si="3"/>
        <v>0</v>
      </c>
      <c r="BY12" s="6"/>
    </row>
    <row r="13" spans="1:78" hidden="1">
      <c r="A13" s="100"/>
      <c r="B13" s="17" t="s">
        <v>6</v>
      </c>
      <c r="C13"/>
      <c r="D13"/>
      <c r="E13"/>
      <c r="F13"/>
      <c r="G13"/>
      <c r="H13"/>
      <c r="I13"/>
      <c r="J13" s="49" t="s">
        <v>0</v>
      </c>
      <c r="K13"/>
      <c r="L13" s="132" t="s">
        <v>202</v>
      </c>
      <c r="M13" s="6"/>
      <c r="N13" s="6">
        <v>0</v>
      </c>
      <c r="O13" s="6"/>
      <c r="P13" s="6">
        <v>0</v>
      </c>
      <c r="Q13" s="6"/>
      <c r="R13" s="6">
        <f>+N13+P13</f>
        <v>0</v>
      </c>
      <c r="S13" s="6"/>
      <c r="T13" s="6">
        <v>0</v>
      </c>
      <c r="U13" s="6"/>
      <c r="V13" s="6">
        <v>0</v>
      </c>
      <c r="X13" s="6">
        <v>0</v>
      </c>
      <c r="Z13" s="6">
        <v>0</v>
      </c>
      <c r="AB13" s="6">
        <v>0</v>
      </c>
      <c r="AD13" s="6">
        <v>0</v>
      </c>
      <c r="AF13" s="6">
        <v>0</v>
      </c>
      <c r="AH13" s="6">
        <v>0</v>
      </c>
      <c r="AJ13" s="6">
        <v>0</v>
      </c>
      <c r="AN13" s="6">
        <v>0</v>
      </c>
      <c r="AP13" s="6">
        <v>0</v>
      </c>
      <c r="AR13" s="6">
        <v>0</v>
      </c>
      <c r="AT13" s="6">
        <v>0</v>
      </c>
      <c r="AV13" s="6">
        <v>0</v>
      </c>
      <c r="AX13" s="6">
        <v>0</v>
      </c>
      <c r="AZ13" s="6">
        <v>0</v>
      </c>
      <c r="BB13" s="6">
        <v>0</v>
      </c>
      <c r="BD13" s="6">
        <v>0</v>
      </c>
      <c r="BF13" s="6">
        <v>0</v>
      </c>
      <c r="BH13" s="6">
        <v>0</v>
      </c>
      <c r="BJ13" s="6">
        <v>0</v>
      </c>
      <c r="BL13" s="6">
        <v>0</v>
      </c>
      <c r="BM13" s="6"/>
      <c r="BN13" s="6">
        <v>0</v>
      </c>
      <c r="BO13" s="6"/>
      <c r="BP13" s="6">
        <f t="shared" si="0"/>
        <v>0</v>
      </c>
      <c r="BQ13" s="6"/>
      <c r="BR13" s="6">
        <v>0</v>
      </c>
      <c r="BS13" s="6"/>
      <c r="BT13" s="6">
        <f t="shared" si="1"/>
        <v>0</v>
      </c>
      <c r="BV13" s="6">
        <f t="shared" si="2"/>
        <v>0</v>
      </c>
      <c r="BX13" s="6">
        <f t="shared" si="3"/>
        <v>0</v>
      </c>
      <c r="BY13" s="6"/>
    </row>
    <row r="14" spans="1:78">
      <c r="A14" s="100"/>
      <c r="B14" s="17" t="s">
        <v>121</v>
      </c>
      <c r="C14"/>
      <c r="D14"/>
      <c r="E14"/>
      <c r="F14"/>
      <c r="G14"/>
      <c r="H14"/>
      <c r="I14"/>
      <c r="J14" s="49" t="s">
        <v>0</v>
      </c>
      <c r="K14"/>
      <c r="L14" s="132" t="s">
        <v>202</v>
      </c>
      <c r="M14" s="6"/>
      <c r="N14" s="6">
        <v>93330000</v>
      </c>
      <c r="O14" s="6"/>
      <c r="P14" s="6">
        <v>0</v>
      </c>
      <c r="Q14" s="6"/>
      <c r="R14" s="6">
        <v>250000</v>
      </c>
      <c r="S14" s="6"/>
      <c r="T14" s="6">
        <v>0</v>
      </c>
      <c r="U14" s="6"/>
      <c r="V14" s="6">
        <v>0</v>
      </c>
      <c r="X14" s="6">
        <v>0</v>
      </c>
      <c r="Z14" s="6">
        <v>0</v>
      </c>
      <c r="AB14" s="6">
        <v>0</v>
      </c>
      <c r="AD14" s="6">
        <v>0</v>
      </c>
      <c r="AF14" s="6">
        <v>0</v>
      </c>
      <c r="AH14" s="6">
        <v>0</v>
      </c>
      <c r="AJ14" s="6">
        <v>0</v>
      </c>
      <c r="AL14" s="6">
        <v>107199</v>
      </c>
      <c r="AN14" s="6">
        <v>0</v>
      </c>
      <c r="AP14" s="6">
        <v>0</v>
      </c>
      <c r="AR14" s="6">
        <v>0</v>
      </c>
      <c r="AT14" s="6">
        <v>0</v>
      </c>
      <c r="AV14" s="6">
        <v>0</v>
      </c>
      <c r="AX14" s="6">
        <v>0</v>
      </c>
      <c r="AZ14" s="6">
        <v>0</v>
      </c>
      <c r="BB14" s="6">
        <v>0</v>
      </c>
      <c r="BD14" s="6">
        <v>0</v>
      </c>
      <c r="BF14" s="6">
        <f>323838+443389.2</f>
        <v>767227.2</v>
      </c>
      <c r="BH14" s="6">
        <v>0</v>
      </c>
      <c r="BJ14" s="6">
        <v>0</v>
      </c>
      <c r="BL14" s="6">
        <v>0</v>
      </c>
      <c r="BM14" s="6"/>
      <c r="BN14" s="6">
        <v>0</v>
      </c>
      <c r="BO14" s="6"/>
      <c r="BP14" s="6">
        <f t="shared" si="0"/>
        <v>874426.2</v>
      </c>
      <c r="BQ14" s="6"/>
      <c r="BR14" s="6">
        <f>59734+767227+46974+39315-250000</f>
        <v>663250</v>
      </c>
      <c r="BS14" s="6"/>
      <c r="BT14" s="6">
        <f t="shared" si="1"/>
        <v>38823.800000000047</v>
      </c>
      <c r="BV14" s="6">
        <f t="shared" si="2"/>
        <v>913250</v>
      </c>
      <c r="BX14" s="6">
        <f t="shared" si="3"/>
        <v>-663250</v>
      </c>
      <c r="BY14" s="6"/>
    </row>
    <row r="15" spans="1:78">
      <c r="A15" s="100"/>
      <c r="B15" s="17"/>
      <c r="C15"/>
      <c r="D15"/>
      <c r="E15"/>
      <c r="F15"/>
      <c r="G15"/>
      <c r="H15"/>
      <c r="I15"/>
      <c r="J15" s="49"/>
      <c r="K15"/>
      <c r="L15" s="132"/>
      <c r="M15" s="6"/>
      <c r="N15" s="12"/>
      <c r="O15" s="6"/>
      <c r="P15" s="12"/>
      <c r="Q15" s="6"/>
      <c r="R15" s="12"/>
      <c r="S15" s="6"/>
      <c r="T15" s="12"/>
      <c r="U15" s="6"/>
      <c r="V15" s="12"/>
      <c r="X15" s="12"/>
      <c r="Z15" s="12"/>
      <c r="AB15" s="12"/>
      <c r="AD15" s="12"/>
      <c r="AF15" s="12"/>
      <c r="AH15" s="12"/>
      <c r="AJ15" s="12"/>
      <c r="AL15" s="12"/>
      <c r="AN15" s="12"/>
      <c r="AP15" s="12"/>
      <c r="AR15" s="12"/>
      <c r="AT15" s="12"/>
      <c r="AV15" s="12"/>
      <c r="AW15" s="12"/>
      <c r="AX15" s="12"/>
      <c r="AY15" s="12"/>
      <c r="AZ15" s="12"/>
      <c r="BA15" s="12"/>
      <c r="BB15" s="12"/>
      <c r="BD15" s="12"/>
      <c r="BF15" s="12"/>
      <c r="BG15" s="12"/>
      <c r="BH15" s="12"/>
      <c r="BI15" s="12"/>
      <c r="BJ15" s="12"/>
      <c r="BK15" s="12"/>
      <c r="BL15" s="12"/>
      <c r="BM15" s="6"/>
      <c r="BN15" s="12"/>
      <c r="BO15" s="6"/>
      <c r="BP15" s="12"/>
      <c r="BQ15" s="6"/>
      <c r="BR15" s="12"/>
      <c r="BS15" s="6"/>
      <c r="BT15" s="6">
        <f t="shared" si="1"/>
        <v>0</v>
      </c>
      <c r="BV15" s="12"/>
      <c r="BX15" s="6">
        <f t="shared" si="3"/>
        <v>0</v>
      </c>
      <c r="BY15" s="6"/>
    </row>
    <row r="16" spans="1:78">
      <c r="A16" s="100"/>
      <c r="B16" s="17" t="s">
        <v>195</v>
      </c>
      <c r="C16"/>
      <c r="D16"/>
      <c r="E16"/>
      <c r="F16"/>
      <c r="G16"/>
      <c r="H16"/>
      <c r="I16"/>
      <c r="J16" s="49"/>
      <c r="K16"/>
      <c r="L16" s="132"/>
      <c r="M16" s="6"/>
      <c r="N16" s="101">
        <f>SUM(N9:N15)</f>
        <v>93330000</v>
      </c>
      <c r="O16" s="6"/>
      <c r="P16" s="101">
        <f>SUM(P9:P15)</f>
        <v>0</v>
      </c>
      <c r="Q16" s="6"/>
      <c r="R16" s="101">
        <f>SUM(R9:R15)</f>
        <v>93580000</v>
      </c>
      <c r="S16" s="6"/>
      <c r="T16" s="101">
        <f>SUM(T9:T15)</f>
        <v>0</v>
      </c>
      <c r="U16" s="6"/>
      <c r="V16" s="101">
        <f>SUM(V9:V15)</f>
        <v>0</v>
      </c>
      <c r="X16" s="101">
        <f>SUM(X9:X15)</f>
        <v>0</v>
      </c>
      <c r="Z16" s="101">
        <f>SUM(Z9:Z15)</f>
        <v>0</v>
      </c>
      <c r="AB16" s="101">
        <f>SUM(AB9:AB15)</f>
        <v>0</v>
      </c>
      <c r="AD16" s="101">
        <f>SUM(AD9:AD15)</f>
        <v>0</v>
      </c>
      <c r="AF16" s="101">
        <f>SUM(AF9:AF15)</f>
        <v>0</v>
      </c>
      <c r="AH16" s="101">
        <f>SUM(AH9:AH15)</f>
        <v>0</v>
      </c>
      <c r="AJ16" s="101">
        <f>SUM(AJ9:AJ15)</f>
        <v>0</v>
      </c>
      <c r="AL16" s="101">
        <f>SUM(AL9:AL15)</f>
        <v>86082379</v>
      </c>
      <c r="AM16" s="101"/>
      <c r="AN16" s="101">
        <f>SUM(AN9:AN15)</f>
        <v>0</v>
      </c>
      <c r="AP16" s="101">
        <f>SUM(AP9:AP15)</f>
        <v>1282310</v>
      </c>
      <c r="AR16" s="101">
        <f>SUM(AR9:AR15)</f>
        <v>144155</v>
      </c>
      <c r="AT16" s="101">
        <f>SUM(AT9:AT15)</f>
        <v>0</v>
      </c>
      <c r="AV16" s="101">
        <f>SUM(AV9:AV15)</f>
        <v>0</v>
      </c>
      <c r="AW16" s="12"/>
      <c r="AX16" s="101">
        <f>SUM(AX9:AX15)</f>
        <v>0</v>
      </c>
      <c r="AY16" s="12"/>
      <c r="AZ16" s="101">
        <f>SUM(AZ9:AZ15)</f>
        <v>1240525</v>
      </c>
      <c r="BA16" s="12"/>
      <c r="BB16" s="101">
        <f>SUM(BB9:BB15)</f>
        <v>0</v>
      </c>
      <c r="BD16" s="101">
        <f>SUM(BD9:BD15)</f>
        <v>1735000.05</v>
      </c>
      <c r="BF16" s="101">
        <f>SUM(BF9:BF15)</f>
        <v>3425797.2</v>
      </c>
      <c r="BG16" s="12"/>
      <c r="BH16" s="101">
        <f>SUM(BH9:BH15)</f>
        <v>0</v>
      </c>
      <c r="BI16" s="12"/>
      <c r="BJ16" s="101">
        <f>SUM(BJ9:BJ15)</f>
        <v>0</v>
      </c>
      <c r="BK16" s="12"/>
      <c r="BL16" s="101">
        <f>SUM(BL9:BL15)</f>
        <v>0</v>
      </c>
      <c r="BM16" s="6"/>
      <c r="BN16" s="101">
        <f>SUM(BN9:BN15)</f>
        <v>0</v>
      </c>
      <c r="BO16" s="6"/>
      <c r="BP16" s="101">
        <f>SUM(BP9:BP15)</f>
        <v>93910166.25</v>
      </c>
      <c r="BQ16" s="6"/>
      <c r="BR16" s="101">
        <f>SUM(BR9:BR15)</f>
        <v>2498271</v>
      </c>
      <c r="BS16" s="6"/>
      <c r="BT16" s="101">
        <f>SUM(BT9:BT15)</f>
        <v>3062573.8</v>
      </c>
      <c r="BV16" s="101">
        <f>SUM(BV9:BV15)</f>
        <v>96972740.049999997</v>
      </c>
      <c r="BX16" s="101">
        <f>SUM(BX9:BX15)</f>
        <v>-3392740.049999997</v>
      </c>
      <c r="BY16" s="6"/>
    </row>
    <row r="17" spans="1:77">
      <c r="A17" s="100"/>
      <c r="B17" s="17"/>
      <c r="C17"/>
      <c r="D17"/>
      <c r="E17"/>
      <c r="F17"/>
      <c r="G17"/>
      <c r="H17"/>
      <c r="I17"/>
      <c r="J17" s="49"/>
      <c r="K17"/>
      <c r="L17" s="132"/>
      <c r="M17" s="6"/>
      <c r="O17" s="6"/>
      <c r="Q17" s="6"/>
      <c r="S17" s="6"/>
      <c r="T17" s="6"/>
      <c r="U17" s="6"/>
      <c r="V17" s="6"/>
      <c r="X17" s="6"/>
      <c r="Z17" s="6"/>
      <c r="AB17" s="6"/>
      <c r="AD17" s="6"/>
      <c r="BL17" s="6"/>
      <c r="BM17" s="6"/>
      <c r="BN17" s="6"/>
      <c r="BO17" s="6"/>
      <c r="BQ17" s="6"/>
      <c r="BR17" s="6"/>
      <c r="BS17" s="6"/>
      <c r="BY17" s="6"/>
    </row>
    <row r="18" spans="1:77" hidden="1">
      <c r="A18" s="100"/>
      <c r="B18" s="17" t="s">
        <v>26</v>
      </c>
      <c r="C18"/>
      <c r="D18"/>
      <c r="E18"/>
      <c r="F18"/>
      <c r="G18"/>
      <c r="H18"/>
      <c r="I18"/>
      <c r="J18" s="49"/>
      <c r="K18"/>
      <c r="L18" s="132" t="s">
        <v>202</v>
      </c>
      <c r="M18" s="6"/>
      <c r="N18" s="6">
        <v>0</v>
      </c>
      <c r="O18" s="6"/>
      <c r="P18" s="6">
        <v>0</v>
      </c>
      <c r="Q18" s="6"/>
      <c r="R18" s="6">
        <f>+N18+P18</f>
        <v>0</v>
      </c>
      <c r="S18" s="6"/>
      <c r="T18" s="6">
        <v>0</v>
      </c>
      <c r="U18" s="6"/>
      <c r="V18" s="6">
        <v>0</v>
      </c>
      <c r="X18" s="6">
        <v>0</v>
      </c>
      <c r="Z18" s="6">
        <v>0</v>
      </c>
      <c r="AB18" s="6">
        <v>0</v>
      </c>
      <c r="AD18" s="6">
        <v>0</v>
      </c>
      <c r="AF18" s="6">
        <v>0</v>
      </c>
      <c r="AH18" s="6">
        <v>0</v>
      </c>
      <c r="AJ18" s="6">
        <v>0</v>
      </c>
      <c r="AN18" s="6">
        <v>0</v>
      </c>
      <c r="AP18" s="6">
        <v>0</v>
      </c>
      <c r="AR18" s="6">
        <v>0</v>
      </c>
      <c r="AT18" s="6">
        <v>0</v>
      </c>
      <c r="AV18" s="6">
        <v>0</v>
      </c>
      <c r="AX18" s="6">
        <v>0</v>
      </c>
      <c r="AZ18" s="6">
        <v>0</v>
      </c>
      <c r="BB18" s="6">
        <v>0</v>
      </c>
      <c r="BD18" s="6">
        <v>0</v>
      </c>
      <c r="BF18" s="6">
        <v>0</v>
      </c>
      <c r="BH18" s="6">
        <v>0</v>
      </c>
      <c r="BJ18" s="6">
        <v>0</v>
      </c>
      <c r="BL18" s="6">
        <v>0</v>
      </c>
      <c r="BM18" s="6"/>
      <c r="BN18" s="6">
        <v>0</v>
      </c>
      <c r="BO18" s="6"/>
      <c r="BP18" s="6">
        <f>SUM(T18:BO18)</f>
        <v>0</v>
      </c>
      <c r="BQ18" s="6"/>
      <c r="BR18" s="6">
        <v>0</v>
      </c>
      <c r="BS18" s="6"/>
      <c r="BT18" s="6">
        <f>+R18-BP18+BR18</f>
        <v>0</v>
      </c>
      <c r="BV18" s="6">
        <f t="shared" ref="BV18:BV34" si="4">+BP18+BT18</f>
        <v>0</v>
      </c>
      <c r="BX18" s="6">
        <f t="shared" ref="BX18:BX34" si="5">+R18-BV18</f>
        <v>0</v>
      </c>
      <c r="BY18" s="6"/>
    </row>
    <row r="19" spans="1:77">
      <c r="A19" s="100"/>
      <c r="B19" s="17" t="s">
        <v>221</v>
      </c>
      <c r="C19"/>
      <c r="D19"/>
      <c r="E19"/>
      <c r="F19"/>
      <c r="G19"/>
      <c r="H19"/>
      <c r="I19"/>
      <c r="J19" s="49" t="s">
        <v>0</v>
      </c>
      <c r="K19"/>
      <c r="L19" s="132" t="s">
        <v>202</v>
      </c>
      <c r="M19" s="6"/>
      <c r="N19" s="6">
        <v>0</v>
      </c>
      <c r="O19" s="6"/>
      <c r="P19" s="6">
        <v>0</v>
      </c>
      <c r="Q19" s="6"/>
      <c r="R19" s="6">
        <v>5885811</v>
      </c>
      <c r="S19" s="6"/>
      <c r="T19" s="6">
        <v>0</v>
      </c>
      <c r="U19" s="6"/>
      <c r="V19" s="6">
        <v>0</v>
      </c>
      <c r="X19" s="6">
        <v>0</v>
      </c>
      <c r="Z19" s="6">
        <v>0</v>
      </c>
      <c r="AB19" s="6">
        <v>0</v>
      </c>
      <c r="AD19" s="6">
        <v>0</v>
      </c>
      <c r="AF19" s="6">
        <v>0</v>
      </c>
      <c r="AL19" s="6">
        <v>1177162</v>
      </c>
      <c r="AN19" s="6">
        <v>0</v>
      </c>
      <c r="AP19" s="6">
        <v>0</v>
      </c>
      <c r="AT19" s="6">
        <v>1765743.3</v>
      </c>
      <c r="AV19" s="6">
        <f>569673+1196070.3</f>
        <v>1765743.3</v>
      </c>
      <c r="AX19" s="6">
        <v>0</v>
      </c>
      <c r="AZ19" s="6">
        <f>2354324-1765743</f>
        <v>588581</v>
      </c>
      <c r="BB19" s="6">
        <v>382350</v>
      </c>
      <c r="BD19" s="6">
        <v>588581.1</v>
      </c>
      <c r="BF19" s="6">
        <v>0</v>
      </c>
      <c r="BH19" s="6">
        <v>0</v>
      </c>
      <c r="BJ19" s="6">
        <v>0</v>
      </c>
      <c r="BL19" s="6">
        <v>0</v>
      </c>
      <c r="BM19" s="6"/>
      <c r="BN19" s="6">
        <v>0</v>
      </c>
      <c r="BO19" s="6"/>
      <c r="BP19" s="6">
        <f>SUM(T19:BO19)</f>
        <v>6268160.6999999993</v>
      </c>
      <c r="BQ19" s="6"/>
      <c r="BR19" s="6">
        <f>220650+161700</f>
        <v>382350</v>
      </c>
      <c r="BS19" s="6"/>
      <c r="BT19" s="6">
        <f t="shared" ref="BT19:BT34" si="6">IF(+R19-BP19+BR19&gt;0,R19-BP19+BR19,0)</f>
        <v>0.30000000074505806</v>
      </c>
      <c r="BV19" s="6">
        <f t="shared" si="4"/>
        <v>6268161</v>
      </c>
      <c r="BX19" s="6">
        <f t="shared" si="5"/>
        <v>-382350</v>
      </c>
      <c r="BY19" s="6"/>
    </row>
    <row r="20" spans="1:77">
      <c r="A20" s="100"/>
      <c r="B20" s="17" t="s">
        <v>224</v>
      </c>
      <c r="C20"/>
      <c r="D20"/>
      <c r="E20"/>
      <c r="F20"/>
      <c r="G20"/>
      <c r="H20"/>
      <c r="I20"/>
      <c r="J20" s="49" t="s">
        <v>0</v>
      </c>
      <c r="K20"/>
      <c r="L20" s="132" t="s">
        <v>202</v>
      </c>
      <c r="M20" s="6"/>
      <c r="O20" s="6"/>
      <c r="Q20" s="6"/>
      <c r="R20" s="6">
        <v>0</v>
      </c>
      <c r="S20" s="6"/>
      <c r="T20" s="6"/>
      <c r="U20" s="6"/>
      <c r="V20" s="6"/>
      <c r="X20" s="6"/>
      <c r="Z20" s="6"/>
      <c r="AB20" s="6"/>
      <c r="AD20" s="6"/>
      <c r="AR20" s="6">
        <v>58500</v>
      </c>
      <c r="BL20" s="6"/>
      <c r="BM20" s="6"/>
      <c r="BN20" s="6"/>
      <c r="BO20" s="6"/>
      <c r="BP20" s="6">
        <f t="shared" ref="BP20:BP33" si="7">SUM(T20:BO20)</f>
        <v>58500</v>
      </c>
      <c r="BQ20" s="6"/>
      <c r="BR20" s="6"/>
      <c r="BS20" s="6"/>
      <c r="BT20" s="6">
        <f t="shared" si="6"/>
        <v>0</v>
      </c>
      <c r="BV20" s="6">
        <f t="shared" si="4"/>
        <v>58500</v>
      </c>
      <c r="BX20" s="6">
        <f t="shared" si="5"/>
        <v>-58500</v>
      </c>
      <c r="BY20" s="6"/>
    </row>
    <row r="21" spans="1:77">
      <c r="A21" s="100"/>
      <c r="B21" s="17" t="s">
        <v>225</v>
      </c>
      <c r="C21"/>
      <c r="D21"/>
      <c r="E21"/>
      <c r="F21"/>
      <c r="G21"/>
      <c r="H21"/>
      <c r="I21"/>
      <c r="J21" s="49" t="s">
        <v>0</v>
      </c>
      <c r="K21"/>
      <c r="L21" s="132" t="s">
        <v>202</v>
      </c>
      <c r="M21" s="6"/>
      <c r="O21" s="6"/>
      <c r="Q21" s="6"/>
      <c r="S21" s="6"/>
      <c r="T21" s="6"/>
      <c r="U21" s="6"/>
      <c r="V21" s="6"/>
      <c r="X21" s="6"/>
      <c r="Z21" s="6"/>
      <c r="AB21" s="6"/>
      <c r="AD21" s="6"/>
      <c r="BL21" s="6"/>
      <c r="BM21" s="6"/>
      <c r="BN21" s="6"/>
      <c r="BO21" s="6"/>
      <c r="BP21" s="6">
        <f t="shared" si="7"/>
        <v>0</v>
      </c>
      <c r="BQ21" s="6"/>
      <c r="BR21" s="6"/>
      <c r="BS21" s="6"/>
      <c r="BT21" s="6">
        <f t="shared" si="6"/>
        <v>0</v>
      </c>
      <c r="BV21" s="6">
        <f t="shared" si="4"/>
        <v>0</v>
      </c>
      <c r="BX21" s="6">
        <f t="shared" si="5"/>
        <v>0</v>
      </c>
      <c r="BY21" s="6"/>
    </row>
    <row r="22" spans="1:77">
      <c r="A22" s="100"/>
      <c r="B22" s="17" t="s">
        <v>222</v>
      </c>
      <c r="C22"/>
      <c r="D22"/>
      <c r="E22"/>
      <c r="F22"/>
      <c r="G22"/>
      <c r="H22"/>
      <c r="I22"/>
      <c r="J22" s="49" t="s">
        <v>0</v>
      </c>
      <c r="K22"/>
      <c r="L22" s="132" t="s">
        <v>202</v>
      </c>
      <c r="M22" s="6"/>
      <c r="O22" s="6"/>
      <c r="Q22" s="6"/>
      <c r="S22" s="6"/>
      <c r="T22" s="6"/>
      <c r="U22" s="6"/>
      <c r="V22" s="6"/>
      <c r="X22" s="6"/>
      <c r="Z22" s="6"/>
      <c r="AB22" s="6"/>
      <c r="AD22" s="6"/>
      <c r="BL22" s="6"/>
      <c r="BM22" s="6"/>
      <c r="BN22" s="6"/>
      <c r="BO22" s="6"/>
      <c r="BP22" s="6">
        <f t="shared" si="7"/>
        <v>0</v>
      </c>
      <c r="BQ22" s="6"/>
      <c r="BR22" s="6"/>
      <c r="BS22" s="6"/>
      <c r="BT22" s="6">
        <f t="shared" si="6"/>
        <v>0</v>
      </c>
      <c r="BV22" s="6">
        <f t="shared" si="4"/>
        <v>0</v>
      </c>
      <c r="BX22" s="6">
        <f t="shared" si="5"/>
        <v>0</v>
      </c>
      <c r="BY22" s="6"/>
    </row>
    <row r="23" spans="1:77">
      <c r="A23" s="100"/>
      <c r="B23" s="17" t="s">
        <v>223</v>
      </c>
      <c r="C23"/>
      <c r="D23"/>
      <c r="E23"/>
      <c r="F23"/>
      <c r="G23"/>
      <c r="H23"/>
      <c r="I23"/>
      <c r="J23" s="49" t="s">
        <v>0</v>
      </c>
      <c r="K23"/>
      <c r="L23" s="132" t="s">
        <v>202</v>
      </c>
      <c r="M23" s="6"/>
      <c r="O23" s="6"/>
      <c r="Q23" s="6"/>
      <c r="S23" s="6"/>
      <c r="T23" s="6"/>
      <c r="U23" s="6"/>
      <c r="V23" s="6"/>
      <c r="X23" s="6"/>
      <c r="Z23" s="6"/>
      <c r="AB23" s="6"/>
      <c r="AD23" s="6"/>
      <c r="BL23" s="6"/>
      <c r="BM23" s="6"/>
      <c r="BN23" s="6"/>
      <c r="BO23" s="6"/>
      <c r="BP23" s="6">
        <f t="shared" si="7"/>
        <v>0</v>
      </c>
      <c r="BQ23" s="6"/>
      <c r="BR23" s="6"/>
      <c r="BS23" s="6"/>
      <c r="BT23" s="6">
        <f t="shared" si="6"/>
        <v>0</v>
      </c>
      <c r="BV23" s="6">
        <f t="shared" si="4"/>
        <v>0</v>
      </c>
      <c r="BX23" s="6">
        <f t="shared" si="5"/>
        <v>0</v>
      </c>
      <c r="BY23" s="6"/>
    </row>
    <row r="24" spans="1:77" hidden="1">
      <c r="A24" s="100"/>
      <c r="B24" s="17"/>
      <c r="C24"/>
      <c r="D24"/>
      <c r="E24"/>
      <c r="F24"/>
      <c r="G24"/>
      <c r="H24"/>
      <c r="I24"/>
      <c r="J24" s="49" t="s">
        <v>0</v>
      </c>
      <c r="K24"/>
      <c r="L24" s="132"/>
      <c r="M24" s="6"/>
      <c r="O24" s="6"/>
      <c r="Q24" s="6"/>
      <c r="S24" s="6"/>
      <c r="T24" s="6"/>
      <c r="U24" s="6"/>
      <c r="V24" s="6"/>
      <c r="X24" s="6"/>
      <c r="Z24" s="6"/>
      <c r="AB24" s="6"/>
      <c r="AD24" s="6"/>
      <c r="BL24" s="6"/>
      <c r="BM24" s="6"/>
      <c r="BN24" s="6"/>
      <c r="BO24" s="6"/>
      <c r="BP24" s="6">
        <f t="shared" si="7"/>
        <v>0</v>
      </c>
      <c r="BQ24" s="6"/>
      <c r="BR24" s="6"/>
      <c r="BS24" s="6"/>
      <c r="BT24" s="6">
        <f t="shared" si="6"/>
        <v>0</v>
      </c>
      <c r="BV24" s="6">
        <f t="shared" si="4"/>
        <v>0</v>
      </c>
      <c r="BX24" s="6">
        <f t="shared" si="5"/>
        <v>0</v>
      </c>
      <c r="BY24" s="6"/>
    </row>
    <row r="25" spans="1:77" hidden="1">
      <c r="A25" s="100"/>
      <c r="B25" s="17" t="s">
        <v>7</v>
      </c>
      <c r="C25"/>
      <c r="D25"/>
      <c r="E25"/>
      <c r="F25"/>
      <c r="G25"/>
      <c r="H25"/>
      <c r="I25"/>
      <c r="J25" s="49" t="s">
        <v>0</v>
      </c>
      <c r="K25"/>
      <c r="L25" s="132" t="s">
        <v>202</v>
      </c>
      <c r="M25" s="6"/>
      <c r="N25" s="6">
        <v>0</v>
      </c>
      <c r="O25" s="6"/>
      <c r="P25" s="6">
        <v>0</v>
      </c>
      <c r="Q25" s="6"/>
      <c r="R25" s="6">
        <f t="shared" ref="R25:R32" si="8">+N25+P25</f>
        <v>0</v>
      </c>
      <c r="S25" s="6"/>
      <c r="T25" s="6">
        <v>0</v>
      </c>
      <c r="U25" s="6"/>
      <c r="V25" s="6">
        <v>0</v>
      </c>
      <c r="X25" s="6">
        <v>0</v>
      </c>
      <c r="Z25" s="6">
        <v>0</v>
      </c>
      <c r="AB25" s="6">
        <v>0</v>
      </c>
      <c r="AD25" s="6">
        <v>0</v>
      </c>
      <c r="AF25" s="6">
        <v>0</v>
      </c>
      <c r="AH25" s="6">
        <v>0</v>
      </c>
      <c r="AJ25" s="6">
        <v>0</v>
      </c>
      <c r="AN25" s="6">
        <v>0</v>
      </c>
      <c r="AP25" s="6">
        <v>0</v>
      </c>
      <c r="AR25" s="6">
        <v>0</v>
      </c>
      <c r="AT25" s="6">
        <v>0</v>
      </c>
      <c r="AV25" s="6">
        <v>0</v>
      </c>
      <c r="AX25" s="6">
        <v>0</v>
      </c>
      <c r="AZ25" s="6">
        <v>0</v>
      </c>
      <c r="BB25" s="6">
        <v>0</v>
      </c>
      <c r="BD25" s="6">
        <v>0</v>
      </c>
      <c r="BF25" s="6">
        <v>0</v>
      </c>
      <c r="BH25" s="6">
        <v>0</v>
      </c>
      <c r="BJ25" s="6">
        <v>0</v>
      </c>
      <c r="BL25" s="6">
        <v>0</v>
      </c>
      <c r="BM25" s="6"/>
      <c r="BN25" s="6">
        <v>0</v>
      </c>
      <c r="BO25" s="6"/>
      <c r="BP25" s="6">
        <f t="shared" si="7"/>
        <v>0</v>
      </c>
      <c r="BQ25" s="6"/>
      <c r="BR25" s="6">
        <v>0</v>
      </c>
      <c r="BS25" s="6"/>
      <c r="BT25" s="6">
        <f t="shared" si="6"/>
        <v>0</v>
      </c>
      <c r="BV25" s="6">
        <f t="shared" si="4"/>
        <v>0</v>
      </c>
      <c r="BX25" s="6">
        <f t="shared" si="5"/>
        <v>0</v>
      </c>
      <c r="BY25" s="6"/>
    </row>
    <row r="26" spans="1:77" hidden="1">
      <c r="A26" s="100"/>
      <c r="B26" s="17" t="s">
        <v>8</v>
      </c>
      <c r="C26"/>
      <c r="D26"/>
      <c r="E26"/>
      <c r="F26"/>
      <c r="G26"/>
      <c r="H26"/>
      <c r="I26"/>
      <c r="J26" s="49" t="s">
        <v>0</v>
      </c>
      <c r="K26"/>
      <c r="L26" s="132" t="s">
        <v>202</v>
      </c>
      <c r="M26" s="6"/>
      <c r="N26" s="6">
        <v>0</v>
      </c>
      <c r="O26" s="6"/>
      <c r="P26" s="6">
        <v>0</v>
      </c>
      <c r="Q26" s="6"/>
      <c r="R26" s="6">
        <f t="shared" si="8"/>
        <v>0</v>
      </c>
      <c r="S26" s="6"/>
      <c r="T26" s="6">
        <v>0</v>
      </c>
      <c r="U26" s="6"/>
      <c r="V26" s="6">
        <v>0</v>
      </c>
      <c r="X26" s="6">
        <v>0</v>
      </c>
      <c r="Z26" s="6">
        <v>0</v>
      </c>
      <c r="AB26" s="6">
        <v>0</v>
      </c>
      <c r="AD26" s="6">
        <v>0</v>
      </c>
      <c r="AF26" s="6">
        <v>0</v>
      </c>
      <c r="AH26" s="6">
        <v>0</v>
      </c>
      <c r="AJ26" s="6">
        <v>0</v>
      </c>
      <c r="AN26" s="6">
        <v>0</v>
      </c>
      <c r="AP26" s="6">
        <v>0</v>
      </c>
      <c r="AR26" s="6">
        <v>0</v>
      </c>
      <c r="AT26" s="6">
        <v>0</v>
      </c>
      <c r="AV26" s="6">
        <v>0</v>
      </c>
      <c r="AX26" s="6">
        <v>0</v>
      </c>
      <c r="AZ26" s="6">
        <v>0</v>
      </c>
      <c r="BB26" s="6">
        <v>0</v>
      </c>
      <c r="BD26" s="6">
        <v>0</v>
      </c>
      <c r="BF26" s="6">
        <v>0</v>
      </c>
      <c r="BH26" s="6">
        <v>0</v>
      </c>
      <c r="BJ26" s="6">
        <v>0</v>
      </c>
      <c r="BL26" s="6">
        <v>0</v>
      </c>
      <c r="BM26" s="6"/>
      <c r="BN26" s="6">
        <v>0</v>
      </c>
      <c r="BO26" s="6"/>
      <c r="BP26" s="6">
        <f t="shared" si="7"/>
        <v>0</v>
      </c>
      <c r="BQ26" s="6"/>
      <c r="BR26" s="6">
        <v>0</v>
      </c>
      <c r="BS26" s="6"/>
      <c r="BT26" s="6">
        <f t="shared" si="6"/>
        <v>0</v>
      </c>
      <c r="BV26" s="6">
        <f t="shared" si="4"/>
        <v>0</v>
      </c>
      <c r="BX26" s="6">
        <f t="shared" si="5"/>
        <v>0</v>
      </c>
      <c r="BY26" s="6"/>
    </row>
    <row r="27" spans="1:77" hidden="1">
      <c r="A27" s="100"/>
      <c r="B27" s="17" t="s">
        <v>9</v>
      </c>
      <c r="C27"/>
      <c r="D27"/>
      <c r="E27"/>
      <c r="F27"/>
      <c r="G27"/>
      <c r="H27"/>
      <c r="I27"/>
      <c r="J27" s="49" t="s">
        <v>0</v>
      </c>
      <c r="K27"/>
      <c r="L27" s="132" t="s">
        <v>202</v>
      </c>
      <c r="M27" s="6"/>
      <c r="N27" s="6">
        <v>0</v>
      </c>
      <c r="O27" s="6"/>
      <c r="P27" s="6">
        <v>0</v>
      </c>
      <c r="Q27" s="6"/>
      <c r="R27" s="6">
        <f t="shared" si="8"/>
        <v>0</v>
      </c>
      <c r="S27" s="6"/>
      <c r="T27" s="6">
        <v>0</v>
      </c>
      <c r="U27" s="6"/>
      <c r="V27" s="6">
        <v>0</v>
      </c>
      <c r="X27" s="6">
        <v>0</v>
      </c>
      <c r="Z27" s="6">
        <v>0</v>
      </c>
      <c r="AB27" s="6">
        <v>0</v>
      </c>
      <c r="AD27" s="6">
        <v>0</v>
      </c>
      <c r="AF27" s="6">
        <v>0</v>
      </c>
      <c r="AH27" s="6">
        <v>0</v>
      </c>
      <c r="AJ27" s="6">
        <v>0</v>
      </c>
      <c r="AN27" s="6">
        <v>0</v>
      </c>
      <c r="AP27" s="6">
        <v>0</v>
      </c>
      <c r="AR27" s="6">
        <v>0</v>
      </c>
      <c r="AT27" s="6">
        <v>0</v>
      </c>
      <c r="AV27" s="6">
        <v>0</v>
      </c>
      <c r="AX27" s="6">
        <v>0</v>
      </c>
      <c r="AZ27" s="6">
        <v>0</v>
      </c>
      <c r="BB27" s="6">
        <v>0</v>
      </c>
      <c r="BD27" s="6">
        <v>0</v>
      </c>
      <c r="BF27" s="6">
        <v>0</v>
      </c>
      <c r="BH27" s="6">
        <v>0</v>
      </c>
      <c r="BJ27" s="6">
        <v>0</v>
      </c>
      <c r="BL27" s="6">
        <v>0</v>
      </c>
      <c r="BM27" s="6"/>
      <c r="BN27" s="6">
        <v>0</v>
      </c>
      <c r="BO27" s="6"/>
      <c r="BP27" s="6">
        <f t="shared" si="7"/>
        <v>0</v>
      </c>
      <c r="BQ27" s="6"/>
      <c r="BR27" s="6">
        <v>0</v>
      </c>
      <c r="BS27" s="6"/>
      <c r="BT27" s="6">
        <f t="shared" si="6"/>
        <v>0</v>
      </c>
      <c r="BV27" s="6">
        <f t="shared" si="4"/>
        <v>0</v>
      </c>
      <c r="BX27" s="6">
        <f t="shared" si="5"/>
        <v>0</v>
      </c>
      <c r="BY27" s="6"/>
    </row>
    <row r="28" spans="1:77" hidden="1">
      <c r="A28" s="100"/>
      <c r="B28" s="17" t="s">
        <v>10</v>
      </c>
      <c r="C28"/>
      <c r="D28"/>
      <c r="E28"/>
      <c r="F28"/>
      <c r="G28"/>
      <c r="H28"/>
      <c r="I28"/>
      <c r="J28" s="49" t="s">
        <v>0</v>
      </c>
      <c r="K28"/>
      <c r="L28" s="132" t="s">
        <v>202</v>
      </c>
      <c r="M28" s="6"/>
      <c r="N28" s="6">
        <v>0</v>
      </c>
      <c r="O28" s="6"/>
      <c r="P28" s="6">
        <v>0</v>
      </c>
      <c r="Q28" s="6"/>
      <c r="R28" s="6">
        <f t="shared" si="8"/>
        <v>0</v>
      </c>
      <c r="S28" s="6"/>
      <c r="T28" s="6">
        <v>0</v>
      </c>
      <c r="U28" s="6"/>
      <c r="V28" s="6">
        <v>0</v>
      </c>
      <c r="X28" s="6">
        <v>0</v>
      </c>
      <c r="Z28" s="6">
        <v>0</v>
      </c>
      <c r="AB28" s="6">
        <v>0</v>
      </c>
      <c r="AD28" s="6">
        <v>0</v>
      </c>
      <c r="AF28" s="6">
        <v>0</v>
      </c>
      <c r="AH28" s="6">
        <v>0</v>
      </c>
      <c r="AJ28" s="6">
        <v>0</v>
      </c>
      <c r="AN28" s="6">
        <v>0</v>
      </c>
      <c r="AP28" s="6">
        <v>0</v>
      </c>
      <c r="AR28" s="6">
        <v>0</v>
      </c>
      <c r="AT28" s="6">
        <v>0</v>
      </c>
      <c r="AV28" s="6">
        <v>0</v>
      </c>
      <c r="AX28" s="6">
        <v>0</v>
      </c>
      <c r="AZ28" s="6">
        <v>0</v>
      </c>
      <c r="BB28" s="6">
        <v>0</v>
      </c>
      <c r="BD28" s="6">
        <v>0</v>
      </c>
      <c r="BF28" s="6">
        <v>0</v>
      </c>
      <c r="BH28" s="6">
        <v>0</v>
      </c>
      <c r="BJ28" s="6">
        <v>0</v>
      </c>
      <c r="BL28" s="6">
        <v>0</v>
      </c>
      <c r="BM28" s="6"/>
      <c r="BN28" s="6">
        <v>0</v>
      </c>
      <c r="BO28" s="6"/>
      <c r="BP28" s="6">
        <f t="shared" si="7"/>
        <v>0</v>
      </c>
      <c r="BQ28" s="6"/>
      <c r="BR28" s="6">
        <v>0</v>
      </c>
      <c r="BS28" s="6"/>
      <c r="BT28" s="6">
        <f t="shared" si="6"/>
        <v>0</v>
      </c>
      <c r="BV28" s="6">
        <f t="shared" si="4"/>
        <v>0</v>
      </c>
      <c r="BX28" s="6">
        <f t="shared" si="5"/>
        <v>0</v>
      </c>
      <c r="BY28" s="6"/>
    </row>
    <row r="29" spans="1:77" hidden="1">
      <c r="A29" s="100"/>
      <c r="B29" s="17" t="s">
        <v>11</v>
      </c>
      <c r="C29"/>
      <c r="D29"/>
      <c r="E29"/>
      <c r="F29"/>
      <c r="G29"/>
      <c r="H29"/>
      <c r="I29"/>
      <c r="J29" s="49" t="s">
        <v>0</v>
      </c>
      <c r="K29"/>
      <c r="L29" s="132" t="s">
        <v>202</v>
      </c>
      <c r="M29" s="6"/>
      <c r="N29" s="6">
        <v>0</v>
      </c>
      <c r="O29" s="6"/>
      <c r="P29" s="6">
        <v>0</v>
      </c>
      <c r="Q29" s="6"/>
      <c r="R29" s="6">
        <f t="shared" si="8"/>
        <v>0</v>
      </c>
      <c r="S29" s="6"/>
      <c r="T29" s="6">
        <v>0</v>
      </c>
      <c r="U29" s="6"/>
      <c r="V29" s="6">
        <v>0</v>
      </c>
      <c r="X29" s="6">
        <v>0</v>
      </c>
      <c r="Z29" s="6">
        <v>0</v>
      </c>
      <c r="AB29" s="6">
        <v>0</v>
      </c>
      <c r="AD29" s="6">
        <v>0</v>
      </c>
      <c r="AF29" s="6">
        <v>0</v>
      </c>
      <c r="AH29" s="6">
        <v>0</v>
      </c>
      <c r="AJ29" s="6">
        <v>0</v>
      </c>
      <c r="AN29" s="6">
        <v>0</v>
      </c>
      <c r="AP29" s="6">
        <v>0</v>
      </c>
      <c r="AR29" s="6">
        <v>0</v>
      </c>
      <c r="AT29" s="6">
        <v>0</v>
      </c>
      <c r="AV29" s="6">
        <v>0</v>
      </c>
      <c r="AX29" s="6">
        <v>0</v>
      </c>
      <c r="AZ29" s="6">
        <v>0</v>
      </c>
      <c r="BB29" s="6">
        <v>0</v>
      </c>
      <c r="BD29" s="6">
        <v>0</v>
      </c>
      <c r="BF29" s="6">
        <v>0</v>
      </c>
      <c r="BH29" s="6">
        <v>0</v>
      </c>
      <c r="BJ29" s="6">
        <v>0</v>
      </c>
      <c r="BL29" s="6">
        <v>0</v>
      </c>
      <c r="BM29" s="6"/>
      <c r="BN29" s="6">
        <v>0</v>
      </c>
      <c r="BO29" s="6"/>
      <c r="BP29" s="6">
        <f t="shared" si="7"/>
        <v>0</v>
      </c>
      <c r="BQ29" s="6"/>
      <c r="BR29" s="6">
        <v>0</v>
      </c>
      <c r="BS29" s="6"/>
      <c r="BT29" s="6">
        <f t="shared" si="6"/>
        <v>0</v>
      </c>
      <c r="BV29" s="6">
        <f t="shared" si="4"/>
        <v>0</v>
      </c>
      <c r="BX29" s="6">
        <f t="shared" si="5"/>
        <v>0</v>
      </c>
      <c r="BY29" s="6"/>
    </row>
    <row r="30" spans="1:77" hidden="1">
      <c r="A30" s="281"/>
      <c r="B30" s="17" t="s">
        <v>12</v>
      </c>
      <c r="C30"/>
      <c r="D30"/>
      <c r="E30"/>
      <c r="F30"/>
      <c r="G30"/>
      <c r="H30"/>
      <c r="I30"/>
      <c r="J30" s="49" t="s">
        <v>0</v>
      </c>
      <c r="K30"/>
      <c r="L30" s="132" t="s">
        <v>202</v>
      </c>
      <c r="M30" s="6"/>
      <c r="N30" s="6">
        <v>0</v>
      </c>
      <c r="O30" s="6"/>
      <c r="P30" s="6">
        <v>0</v>
      </c>
      <c r="Q30" s="6"/>
      <c r="R30" s="6">
        <f t="shared" si="8"/>
        <v>0</v>
      </c>
      <c r="S30" s="6"/>
      <c r="T30" s="6">
        <v>0</v>
      </c>
      <c r="U30" s="6"/>
      <c r="V30" s="6">
        <v>0</v>
      </c>
      <c r="X30" s="6">
        <v>0</v>
      </c>
      <c r="Z30" s="6">
        <v>0</v>
      </c>
      <c r="AB30" s="6">
        <v>0</v>
      </c>
      <c r="AD30" s="6">
        <v>0</v>
      </c>
      <c r="AF30" s="6">
        <v>0</v>
      </c>
      <c r="AH30" s="6">
        <v>0</v>
      </c>
      <c r="AJ30" s="6">
        <v>0</v>
      </c>
      <c r="AN30" s="6">
        <v>0</v>
      </c>
      <c r="AP30" s="6">
        <v>0</v>
      </c>
      <c r="AR30" s="6">
        <v>0</v>
      </c>
      <c r="AT30" s="6">
        <v>0</v>
      </c>
      <c r="AV30" s="6">
        <v>0</v>
      </c>
      <c r="AX30" s="6">
        <v>0</v>
      </c>
      <c r="AZ30" s="6">
        <v>0</v>
      </c>
      <c r="BB30" s="6">
        <v>0</v>
      </c>
      <c r="BD30" s="6">
        <v>0</v>
      </c>
      <c r="BF30" s="6">
        <v>0</v>
      </c>
      <c r="BH30" s="6">
        <v>0</v>
      </c>
      <c r="BJ30" s="6">
        <v>0</v>
      </c>
      <c r="BL30" s="6">
        <v>0</v>
      </c>
      <c r="BM30" s="6"/>
      <c r="BN30" s="6">
        <v>0</v>
      </c>
      <c r="BO30" s="6"/>
      <c r="BP30" s="6">
        <f t="shared" si="7"/>
        <v>0</v>
      </c>
      <c r="BQ30" s="6"/>
      <c r="BR30" s="6">
        <v>0</v>
      </c>
      <c r="BS30" s="6"/>
      <c r="BT30" s="6">
        <f t="shared" si="6"/>
        <v>0</v>
      </c>
      <c r="BV30" s="6">
        <f t="shared" si="4"/>
        <v>0</v>
      </c>
      <c r="BX30" s="6">
        <f t="shared" si="5"/>
        <v>0</v>
      </c>
      <c r="BY30" s="6"/>
    </row>
    <row r="31" spans="1:77" hidden="1">
      <c r="A31" s="281"/>
      <c r="B31" s="17" t="s">
        <v>13</v>
      </c>
      <c r="C31"/>
      <c r="D31"/>
      <c r="E31"/>
      <c r="F31"/>
      <c r="G31"/>
      <c r="H31"/>
      <c r="I31"/>
      <c r="J31" s="49" t="s">
        <v>0</v>
      </c>
      <c r="K31"/>
      <c r="L31" s="132" t="s">
        <v>202</v>
      </c>
      <c r="M31" s="6"/>
      <c r="N31" s="6">
        <v>0</v>
      </c>
      <c r="O31" s="6"/>
      <c r="P31" s="6">
        <v>0</v>
      </c>
      <c r="Q31" s="6"/>
      <c r="R31" s="6">
        <f t="shared" si="8"/>
        <v>0</v>
      </c>
      <c r="S31" s="6"/>
      <c r="T31" s="6">
        <v>0</v>
      </c>
      <c r="U31" s="6"/>
      <c r="V31" s="6">
        <v>0</v>
      </c>
      <c r="X31" s="6">
        <v>0</v>
      </c>
      <c r="Z31" s="6">
        <v>0</v>
      </c>
      <c r="AB31" s="6">
        <v>0</v>
      </c>
      <c r="AD31" s="6">
        <v>0</v>
      </c>
      <c r="AF31" s="6">
        <v>0</v>
      </c>
      <c r="AH31" s="6">
        <v>0</v>
      </c>
      <c r="AJ31" s="6">
        <v>0</v>
      </c>
      <c r="AN31" s="6">
        <v>0</v>
      </c>
      <c r="AP31" s="6">
        <v>0</v>
      </c>
      <c r="AR31" s="6">
        <v>0</v>
      </c>
      <c r="AT31" s="6">
        <v>0</v>
      </c>
      <c r="AV31" s="6">
        <v>0</v>
      </c>
      <c r="AX31" s="6">
        <v>0</v>
      </c>
      <c r="AZ31" s="6">
        <v>0</v>
      </c>
      <c r="BB31" s="6">
        <v>0</v>
      </c>
      <c r="BD31" s="6">
        <v>0</v>
      </c>
      <c r="BF31" s="6">
        <v>0</v>
      </c>
      <c r="BH31" s="6">
        <v>0</v>
      </c>
      <c r="BJ31" s="6">
        <v>0</v>
      </c>
      <c r="BL31" s="6">
        <v>0</v>
      </c>
      <c r="BM31" s="6"/>
      <c r="BN31" s="6">
        <v>0</v>
      </c>
      <c r="BO31" s="6"/>
      <c r="BP31" s="6">
        <f t="shared" si="7"/>
        <v>0</v>
      </c>
      <c r="BQ31" s="6"/>
      <c r="BR31" s="6">
        <v>0</v>
      </c>
      <c r="BS31" s="6"/>
      <c r="BT31" s="6">
        <f t="shared" si="6"/>
        <v>0</v>
      </c>
      <c r="BV31" s="6">
        <f t="shared" si="4"/>
        <v>0</v>
      </c>
      <c r="BX31" s="6">
        <f t="shared" si="5"/>
        <v>0</v>
      </c>
      <c r="BY31" s="6"/>
    </row>
    <row r="32" spans="1:77" s="11" customFormat="1" hidden="1">
      <c r="A32" s="100"/>
      <c r="B32" s="17" t="s">
        <v>14</v>
      </c>
      <c r="C32" s="30"/>
      <c r="D32" s="30"/>
      <c r="E32" s="30"/>
      <c r="F32" s="30"/>
      <c r="G32" s="30"/>
      <c r="H32" s="30"/>
      <c r="I32" s="30"/>
      <c r="J32" s="49" t="s">
        <v>0</v>
      </c>
      <c r="K32" s="30"/>
      <c r="L32" s="132" t="s">
        <v>202</v>
      </c>
      <c r="M32" s="12"/>
      <c r="N32" s="12">
        <v>0</v>
      </c>
      <c r="O32" s="12"/>
      <c r="P32" s="12">
        <v>0</v>
      </c>
      <c r="Q32" s="12"/>
      <c r="R32" s="6">
        <f t="shared" si="8"/>
        <v>0</v>
      </c>
      <c r="S32" s="12"/>
      <c r="T32" s="12">
        <v>0</v>
      </c>
      <c r="U32" s="12"/>
      <c r="V32" s="12">
        <v>0</v>
      </c>
      <c r="W32" s="12"/>
      <c r="X32" s="12">
        <v>0</v>
      </c>
      <c r="Y32" s="12"/>
      <c r="Z32" s="12">
        <v>0</v>
      </c>
      <c r="AA32" s="12"/>
      <c r="AB32" s="12">
        <v>0</v>
      </c>
      <c r="AC32" s="12"/>
      <c r="AD32" s="12">
        <v>0</v>
      </c>
      <c r="AE32" s="12"/>
      <c r="AF32" s="12">
        <v>0</v>
      </c>
      <c r="AG32" s="12"/>
      <c r="AH32" s="12">
        <v>0</v>
      </c>
      <c r="AI32" s="12"/>
      <c r="AJ32" s="12">
        <v>0</v>
      </c>
      <c r="AK32" s="12"/>
      <c r="AL32" s="12"/>
      <c r="AM32" s="12"/>
      <c r="AN32" s="12">
        <v>0</v>
      </c>
      <c r="AO32" s="12"/>
      <c r="AP32" s="12">
        <v>0</v>
      </c>
      <c r="AQ32" s="12"/>
      <c r="AR32" s="12">
        <v>0</v>
      </c>
      <c r="AS32" s="12"/>
      <c r="AT32" s="12">
        <v>0</v>
      </c>
      <c r="AU32" s="12"/>
      <c r="AV32" s="12">
        <v>0</v>
      </c>
      <c r="AW32" s="12"/>
      <c r="AX32" s="12">
        <v>0</v>
      </c>
      <c r="AY32" s="12"/>
      <c r="AZ32" s="12">
        <v>0</v>
      </c>
      <c r="BA32" s="12"/>
      <c r="BB32" s="12">
        <v>0</v>
      </c>
      <c r="BC32"/>
      <c r="BD32" s="12">
        <v>0</v>
      </c>
      <c r="BE32"/>
      <c r="BF32" s="12">
        <v>0</v>
      </c>
      <c r="BG32" s="12"/>
      <c r="BH32" s="12">
        <v>0</v>
      </c>
      <c r="BI32" s="12"/>
      <c r="BJ32" s="12">
        <v>0</v>
      </c>
      <c r="BK32" s="12"/>
      <c r="BL32" s="12">
        <v>0</v>
      </c>
      <c r="BM32" s="12"/>
      <c r="BN32" s="12">
        <v>0</v>
      </c>
      <c r="BO32" s="12"/>
      <c r="BP32" s="6">
        <f t="shared" si="7"/>
        <v>0</v>
      </c>
      <c r="BQ32" s="12"/>
      <c r="BR32" s="12">
        <v>0</v>
      </c>
      <c r="BS32" s="12"/>
      <c r="BT32" s="6">
        <f t="shared" si="6"/>
        <v>0</v>
      </c>
      <c r="BU32" s="12"/>
      <c r="BV32" s="6">
        <f t="shared" si="4"/>
        <v>0</v>
      </c>
      <c r="BW32" s="12"/>
      <c r="BX32" s="6">
        <f t="shared" si="5"/>
        <v>0</v>
      </c>
      <c r="BY32" s="12"/>
    </row>
    <row r="33" spans="1:77">
      <c r="A33" s="100"/>
      <c r="B33" s="17" t="s">
        <v>121</v>
      </c>
      <c r="C33"/>
      <c r="D33"/>
      <c r="E33"/>
      <c r="F33"/>
      <c r="G33"/>
      <c r="H33"/>
      <c r="I33"/>
      <c r="J33" s="49" t="s">
        <v>0</v>
      </c>
      <c r="K33"/>
      <c r="L33" s="132" t="s">
        <v>202</v>
      </c>
      <c r="M33" s="6"/>
      <c r="N33" s="12">
        <v>0</v>
      </c>
      <c r="O33" s="6"/>
      <c r="P33" s="12">
        <v>0</v>
      </c>
      <c r="Q33" s="6"/>
      <c r="R33" s="6">
        <v>0</v>
      </c>
      <c r="S33" s="6"/>
      <c r="T33" s="12">
        <v>0</v>
      </c>
      <c r="U33" s="12"/>
      <c r="V33" s="12">
        <v>0</v>
      </c>
      <c r="W33" s="12"/>
      <c r="X33" s="12">
        <v>0</v>
      </c>
      <c r="Y33" s="12"/>
      <c r="Z33" s="12">
        <v>0</v>
      </c>
      <c r="AA33" s="12"/>
      <c r="AB33" s="12">
        <v>0</v>
      </c>
      <c r="AC33" s="12"/>
      <c r="AD33" s="12">
        <v>0</v>
      </c>
      <c r="AE33" s="12"/>
      <c r="AF33" s="12">
        <v>0</v>
      </c>
      <c r="AG33" s="12"/>
      <c r="AH33" s="12">
        <v>0</v>
      </c>
      <c r="AI33" s="12"/>
      <c r="AJ33" s="12">
        <v>0</v>
      </c>
      <c r="AK33" s="12"/>
      <c r="AL33" s="12"/>
      <c r="AM33" s="12"/>
      <c r="AN33" s="12">
        <v>0</v>
      </c>
      <c r="AO33" s="12"/>
      <c r="AP33" s="12">
        <v>0</v>
      </c>
      <c r="AQ33" s="12"/>
      <c r="AR33" s="12">
        <v>0</v>
      </c>
      <c r="AS33" s="12"/>
      <c r="AT33" s="12">
        <v>8000</v>
      </c>
      <c r="AU33" s="12"/>
      <c r="AV33" s="12">
        <v>130800</v>
      </c>
      <c r="AW33" s="12"/>
      <c r="AX33" s="12">
        <v>0</v>
      </c>
      <c r="AY33" s="12"/>
      <c r="AZ33" s="12">
        <v>0</v>
      </c>
      <c r="BA33" s="12"/>
      <c r="BB33" s="12">
        <v>0</v>
      </c>
      <c r="BD33" s="12">
        <v>0</v>
      </c>
      <c r="BF33" s="12">
        <v>0</v>
      </c>
      <c r="BG33" s="12"/>
      <c r="BH33" s="12">
        <v>0</v>
      </c>
      <c r="BI33" s="12"/>
      <c r="BJ33" s="12">
        <v>0</v>
      </c>
      <c r="BK33" s="12"/>
      <c r="BL33" s="12">
        <v>0</v>
      </c>
      <c r="BM33" s="6"/>
      <c r="BN33" s="12">
        <v>0</v>
      </c>
      <c r="BO33" s="6"/>
      <c r="BP33" s="6">
        <f t="shared" si="7"/>
        <v>138800</v>
      </c>
      <c r="BQ33" s="6"/>
      <c r="BR33" s="12">
        <v>0</v>
      </c>
      <c r="BS33" s="6"/>
      <c r="BT33" s="6">
        <f t="shared" si="6"/>
        <v>0</v>
      </c>
      <c r="BV33" s="6">
        <f t="shared" si="4"/>
        <v>138800</v>
      </c>
      <c r="BX33" s="6">
        <f t="shared" si="5"/>
        <v>-138800</v>
      </c>
      <c r="BY33" s="12"/>
    </row>
    <row r="34" spans="1:77">
      <c r="A34" s="100"/>
      <c r="B34" s="17"/>
      <c r="C34"/>
      <c r="D34"/>
      <c r="E34"/>
      <c r="F34"/>
      <c r="G34"/>
      <c r="H34"/>
      <c r="I34"/>
      <c r="J34" s="49"/>
      <c r="K34"/>
      <c r="L34" s="132"/>
      <c r="M34" s="6"/>
      <c r="N34" s="12"/>
      <c r="O34" s="6"/>
      <c r="P34" s="12"/>
      <c r="Q34" s="6"/>
      <c r="R34" s="12"/>
      <c r="S34" s="6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D34" s="12"/>
      <c r="BF34" s="12"/>
      <c r="BG34" s="12"/>
      <c r="BH34" s="12"/>
      <c r="BI34" s="12"/>
      <c r="BJ34" s="12"/>
      <c r="BK34" s="12"/>
      <c r="BL34" s="12"/>
      <c r="BM34" s="6"/>
      <c r="BN34" s="12"/>
      <c r="BO34" s="6"/>
      <c r="BP34" s="12"/>
      <c r="BQ34" s="6"/>
      <c r="BR34" s="12"/>
      <c r="BS34" s="6"/>
      <c r="BT34" s="6">
        <f t="shared" si="6"/>
        <v>0</v>
      </c>
      <c r="BV34" s="6">
        <f t="shared" si="4"/>
        <v>0</v>
      </c>
      <c r="BX34" s="6">
        <f t="shared" si="5"/>
        <v>0</v>
      </c>
      <c r="BY34" s="12"/>
    </row>
    <row r="35" spans="1:77">
      <c r="A35" s="100"/>
      <c r="B35" s="17" t="s">
        <v>226</v>
      </c>
      <c r="C35"/>
      <c r="D35"/>
      <c r="E35"/>
      <c r="F35"/>
      <c r="G35"/>
      <c r="H35"/>
      <c r="I35"/>
      <c r="J35" s="49"/>
      <c r="K35"/>
      <c r="L35" s="132"/>
      <c r="M35" s="6"/>
      <c r="N35" s="101">
        <f>SUM(N18:N34)</f>
        <v>0</v>
      </c>
      <c r="O35" s="6"/>
      <c r="P35" s="101">
        <f>SUM(P18:P34)</f>
        <v>0</v>
      </c>
      <c r="Q35" s="6"/>
      <c r="R35" s="101">
        <f>SUM(R18:R34)</f>
        <v>5885811</v>
      </c>
      <c r="S35" s="6"/>
      <c r="T35" s="101">
        <f>SUM(T18:T34)</f>
        <v>0</v>
      </c>
      <c r="U35" s="12"/>
      <c r="V35" s="101">
        <f>SUM(V18:V34)</f>
        <v>0</v>
      </c>
      <c r="W35" s="12"/>
      <c r="X35" s="101">
        <f>SUM(X18:X34)</f>
        <v>0</v>
      </c>
      <c r="Y35" s="12"/>
      <c r="Z35" s="101">
        <f>SUM(Z18:Z34)</f>
        <v>0</v>
      </c>
      <c r="AA35" s="12"/>
      <c r="AB35" s="101">
        <f>SUM(AB18:AB34)</f>
        <v>0</v>
      </c>
      <c r="AC35" s="12"/>
      <c r="AD35" s="101">
        <f>SUM(AD18:AD34)</f>
        <v>0</v>
      </c>
      <c r="AE35" s="12"/>
      <c r="AF35" s="101">
        <f>SUM(AF18:AF34)</f>
        <v>0</v>
      </c>
      <c r="AG35" s="12"/>
      <c r="AH35" s="101">
        <f>SUM(AH18:AH34)</f>
        <v>0</v>
      </c>
      <c r="AI35" s="12"/>
      <c r="AJ35" s="101">
        <f>SUM(AJ18:AJ34)</f>
        <v>0</v>
      </c>
      <c r="AK35" s="12"/>
      <c r="AL35" s="101">
        <f>SUM(AL18:AL34)</f>
        <v>1177162</v>
      </c>
      <c r="AM35" s="101"/>
      <c r="AN35" s="101">
        <f>SUM(AN18:AN34)</f>
        <v>0</v>
      </c>
      <c r="AO35" s="12"/>
      <c r="AP35" s="101">
        <f>SUM(AP18:AP34)</f>
        <v>0</v>
      </c>
      <c r="AQ35" s="12"/>
      <c r="AR35" s="101">
        <f>SUM(AR18:AR34)</f>
        <v>58500</v>
      </c>
      <c r="AS35" s="12"/>
      <c r="AT35" s="101">
        <f>SUM(AT18:AT34)</f>
        <v>1773743.3</v>
      </c>
      <c r="AU35" s="12"/>
      <c r="AV35" s="101">
        <f>SUM(AV18:AV34)</f>
        <v>1896543.3</v>
      </c>
      <c r="AW35" s="12"/>
      <c r="AX35" s="101">
        <f>SUM(AX18:AX34)</f>
        <v>0</v>
      </c>
      <c r="AY35" s="12"/>
      <c r="AZ35" s="101">
        <f>SUM(AZ18:AZ34)</f>
        <v>588581</v>
      </c>
      <c r="BA35" s="12"/>
      <c r="BB35" s="101">
        <f>SUM(BB18:BB34)</f>
        <v>382350</v>
      </c>
      <c r="BD35" s="101">
        <f>SUM(BD18:BD34)</f>
        <v>588581.1</v>
      </c>
      <c r="BF35" s="101">
        <f>SUM(BF18:BF34)</f>
        <v>0</v>
      </c>
      <c r="BG35" s="12"/>
      <c r="BH35" s="101">
        <f>SUM(BH18:BH34)</f>
        <v>0</v>
      </c>
      <c r="BI35" s="12"/>
      <c r="BJ35" s="101">
        <f>SUM(BJ18:BJ34)</f>
        <v>0</v>
      </c>
      <c r="BK35" s="12"/>
      <c r="BL35" s="101">
        <f>SUM(BL18:BL34)</f>
        <v>0</v>
      </c>
      <c r="BM35" s="6"/>
      <c r="BN35" s="101">
        <f>SUM(BN18:BN34)</f>
        <v>0</v>
      </c>
      <c r="BO35" s="6"/>
      <c r="BP35" s="101">
        <f>SUM(BP18:BP34)</f>
        <v>6465460.6999999993</v>
      </c>
      <c r="BQ35" s="6"/>
      <c r="BR35" s="101">
        <f>SUM(BR18:BR34)</f>
        <v>382350</v>
      </c>
      <c r="BS35" s="6"/>
      <c r="BT35" s="101">
        <f>SUM(BT18:BT34)</f>
        <v>0.30000000074505806</v>
      </c>
      <c r="BV35" s="101">
        <f>SUM(BV18:BV34)</f>
        <v>6465461</v>
      </c>
      <c r="BX35" s="101">
        <f>SUM(BX18:BX34)</f>
        <v>-579650</v>
      </c>
      <c r="BY35" s="12"/>
    </row>
    <row r="36" spans="1:77">
      <c r="A36" s="100"/>
      <c r="B36" s="17"/>
      <c r="C36"/>
      <c r="D36"/>
      <c r="E36"/>
      <c r="F36"/>
      <c r="G36"/>
      <c r="H36"/>
      <c r="I36"/>
      <c r="J36" s="49"/>
      <c r="K36"/>
      <c r="L36" s="132"/>
      <c r="M36" s="6"/>
      <c r="N36" s="12"/>
      <c r="O36" s="6"/>
      <c r="P36" s="12"/>
      <c r="Q36" s="6"/>
      <c r="R36" s="12"/>
      <c r="S36" s="6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D36" s="12"/>
      <c r="BF36" s="12"/>
      <c r="BG36" s="12"/>
      <c r="BH36" s="12"/>
      <c r="BI36" s="12"/>
      <c r="BJ36" s="12"/>
      <c r="BK36" s="12"/>
      <c r="BL36" s="12"/>
      <c r="BM36" s="6"/>
      <c r="BN36" s="12"/>
      <c r="BO36" s="6"/>
      <c r="BP36" s="12"/>
      <c r="BQ36" s="6"/>
      <c r="BR36" s="12"/>
      <c r="BS36" s="6"/>
      <c r="BT36" s="12"/>
      <c r="BV36" s="12"/>
      <c r="BX36" s="12"/>
      <c r="BY36" s="12"/>
    </row>
    <row r="37" spans="1:77" s="114" customFormat="1">
      <c r="A37" s="282"/>
      <c r="B37" s="113" t="s">
        <v>15</v>
      </c>
      <c r="J37" s="154"/>
      <c r="L37" s="140"/>
      <c r="M37" s="115"/>
      <c r="N37" s="115">
        <f>+N35+N16</f>
        <v>93330000</v>
      </c>
      <c r="O37" s="115"/>
      <c r="P37" s="115">
        <f>+P35+P16</f>
        <v>0</v>
      </c>
      <c r="Q37" s="115"/>
      <c r="R37" s="115">
        <f>+R35+R16</f>
        <v>99465811</v>
      </c>
      <c r="S37" s="115"/>
      <c r="T37" s="115">
        <f>+T35+T16</f>
        <v>0</v>
      </c>
      <c r="U37" s="115"/>
      <c r="V37" s="115">
        <f>+V35+V16</f>
        <v>0</v>
      </c>
      <c r="W37" s="115"/>
      <c r="X37" s="115">
        <f>+X35+X16</f>
        <v>0</v>
      </c>
      <c r="Y37" s="115"/>
      <c r="Z37" s="115">
        <f>+Z35+Z16</f>
        <v>0</v>
      </c>
      <c r="AA37" s="115"/>
      <c r="AB37" s="115">
        <f>+AB35+AB16</f>
        <v>0</v>
      </c>
      <c r="AC37" s="115"/>
      <c r="AD37" s="115">
        <f>+AD35+AD16</f>
        <v>0</v>
      </c>
      <c r="AE37" s="115"/>
      <c r="AF37" s="115">
        <f>+AF35+AF16</f>
        <v>0</v>
      </c>
      <c r="AG37" s="115"/>
      <c r="AH37" s="115">
        <f>+AH35+AH16</f>
        <v>0</v>
      </c>
      <c r="AI37" s="115"/>
      <c r="AJ37" s="115">
        <f>+AJ35+AJ16</f>
        <v>0</v>
      </c>
      <c r="AK37" s="115"/>
      <c r="AL37" s="115">
        <f>+AL35+AL16</f>
        <v>87259541</v>
      </c>
      <c r="AM37" s="115"/>
      <c r="AN37" s="115">
        <f>+AN35+AN16</f>
        <v>0</v>
      </c>
      <c r="AO37" s="115"/>
      <c r="AP37" s="115">
        <f>+AP35+AP16</f>
        <v>1282310</v>
      </c>
      <c r="AQ37" s="115"/>
      <c r="AR37" s="115">
        <f>+AR35+AR16</f>
        <v>202655</v>
      </c>
      <c r="AS37" s="115"/>
      <c r="AT37" s="115">
        <f>+AT35+AT16</f>
        <v>1773743.3</v>
      </c>
      <c r="AU37" s="115"/>
      <c r="AV37" s="115">
        <f>+AV35+AV16</f>
        <v>1896543.3</v>
      </c>
      <c r="AW37" s="115"/>
      <c r="AX37" s="115">
        <f>+AX35+AX16</f>
        <v>0</v>
      </c>
      <c r="AY37" s="115"/>
      <c r="AZ37" s="115">
        <f>+AZ35+AZ16</f>
        <v>1829106</v>
      </c>
      <c r="BA37" s="115"/>
      <c r="BB37" s="115">
        <f>+BB35+BB16</f>
        <v>382350</v>
      </c>
      <c r="BC37"/>
      <c r="BD37" s="115">
        <f>+BD35+BD16</f>
        <v>2323581.15</v>
      </c>
      <c r="BE37"/>
      <c r="BF37" s="115">
        <f>+BF35+BF16</f>
        <v>3425797.2</v>
      </c>
      <c r="BG37" s="115"/>
      <c r="BH37" s="115">
        <f>+BH35+BH16</f>
        <v>0</v>
      </c>
      <c r="BI37" s="115"/>
      <c r="BJ37" s="115">
        <f>+BJ35+BJ16</f>
        <v>0</v>
      </c>
      <c r="BK37" s="115"/>
      <c r="BL37" s="115">
        <f>+BL35+BL16</f>
        <v>0</v>
      </c>
      <c r="BM37" s="115"/>
      <c r="BN37" s="115">
        <f>+BN35+BN16</f>
        <v>0</v>
      </c>
      <c r="BO37" s="115"/>
      <c r="BP37" s="115">
        <f>+BP35+BP16</f>
        <v>100375626.95</v>
      </c>
      <c r="BQ37" s="115"/>
      <c r="BR37" s="115">
        <f>+BR35+BR16</f>
        <v>2880621</v>
      </c>
      <c r="BS37" s="115"/>
      <c r="BT37" s="115">
        <f>+BT35+BT16</f>
        <v>3062574.1000000006</v>
      </c>
      <c r="BU37" s="115"/>
      <c r="BV37" s="115">
        <f>+BV35+BV16</f>
        <v>103438201.05</v>
      </c>
      <c r="BW37" s="115"/>
      <c r="BX37" s="115">
        <f>+BX35+BX16</f>
        <v>-3972390.049999997</v>
      </c>
      <c r="BY37" s="115"/>
    </row>
    <row r="38" spans="1:77">
      <c r="A38" s="100"/>
      <c r="B38" s="79"/>
      <c r="C38"/>
      <c r="D38"/>
      <c r="E38"/>
      <c r="F38"/>
      <c r="G38"/>
      <c r="H38"/>
      <c r="I38"/>
      <c r="J38" s="49"/>
      <c r="K38"/>
      <c r="L38" s="132"/>
      <c r="M38" s="6"/>
      <c r="O38" s="6"/>
      <c r="Q38" s="6"/>
      <c r="S38" s="6"/>
      <c r="T38" s="6"/>
      <c r="U38" s="6"/>
      <c r="V38" s="6"/>
      <c r="X38" s="6"/>
      <c r="Z38" s="6"/>
      <c r="AB38" s="6"/>
      <c r="AD38" s="6"/>
      <c r="BL38" s="6"/>
      <c r="BM38" s="6"/>
      <c r="BN38" s="6"/>
      <c r="BO38" s="6"/>
      <c r="BQ38" s="6"/>
      <c r="BR38" s="6"/>
      <c r="BS38" s="6"/>
      <c r="BY38" s="6"/>
    </row>
    <row r="39" spans="1:77">
      <c r="A39" s="100"/>
      <c r="B39" s="17"/>
      <c r="C39"/>
      <c r="D39"/>
      <c r="E39"/>
      <c r="F39"/>
      <c r="G39"/>
      <c r="H39"/>
      <c r="I39"/>
      <c r="J39" s="49"/>
      <c r="K39"/>
      <c r="L39" s="132"/>
      <c r="M39" s="6"/>
      <c r="O39" s="6"/>
      <c r="Q39" s="6"/>
      <c r="S39" s="6"/>
      <c r="T39" s="6"/>
      <c r="U39" s="6"/>
      <c r="V39" s="6"/>
      <c r="X39" s="6"/>
      <c r="Z39" s="6"/>
      <c r="AB39" s="6"/>
      <c r="AD39" s="6"/>
      <c r="BL39" s="6"/>
      <c r="BM39" s="6"/>
      <c r="BN39" s="6"/>
      <c r="BO39" s="6"/>
      <c r="BQ39" s="6"/>
      <c r="BR39" s="6"/>
      <c r="BS39" s="6"/>
      <c r="BY39" s="6"/>
    </row>
    <row r="40" spans="1:77">
      <c r="A40" s="58" t="s">
        <v>234</v>
      </c>
      <c r="B40" s="17"/>
      <c r="C40"/>
      <c r="D40"/>
      <c r="E40"/>
      <c r="F40"/>
      <c r="G40"/>
      <c r="H40"/>
      <c r="I40"/>
      <c r="J40" s="49"/>
      <c r="K40"/>
      <c r="L40" s="132"/>
      <c r="M40" s="6"/>
      <c r="O40" s="6"/>
      <c r="Q40" s="6"/>
      <c r="S40" s="6"/>
      <c r="T40" s="6"/>
      <c r="U40" s="6"/>
      <c r="V40" s="6"/>
      <c r="X40" s="6"/>
      <c r="Z40" s="6"/>
      <c r="AB40" s="6"/>
      <c r="AD40" s="6"/>
      <c r="AI40"/>
      <c r="AK40"/>
      <c r="AM40"/>
      <c r="BL40" s="6"/>
      <c r="BM40" s="6"/>
      <c r="BN40" s="6"/>
      <c r="BO40" s="6"/>
      <c r="BQ40" s="6"/>
      <c r="BR40" s="6"/>
      <c r="BS40" s="6"/>
      <c r="BX40" s="4"/>
    </row>
    <row r="41" spans="1:77">
      <c r="A41" s="100"/>
      <c r="B41" s="17"/>
      <c r="C41"/>
      <c r="D41"/>
      <c r="E41"/>
      <c r="F41"/>
      <c r="G41"/>
      <c r="H41"/>
      <c r="I41"/>
      <c r="J41" s="49"/>
      <c r="K41"/>
      <c r="L41" s="132"/>
      <c r="M41" s="6"/>
      <c r="O41" s="6"/>
      <c r="Q41" s="6"/>
      <c r="S41" s="6"/>
      <c r="T41" s="6">
        <v>0</v>
      </c>
      <c r="U41" s="6"/>
      <c r="V41" s="6">
        <v>0</v>
      </c>
      <c r="X41" s="6">
        <v>0</v>
      </c>
      <c r="Z41" s="6">
        <v>0</v>
      </c>
      <c r="AB41" s="6">
        <v>0</v>
      </c>
      <c r="AD41" s="6">
        <v>0</v>
      </c>
      <c r="AF41" s="6">
        <v>0</v>
      </c>
      <c r="AH41" s="6">
        <v>0</v>
      </c>
      <c r="AI41"/>
      <c r="AJ41" s="6">
        <v>0</v>
      </c>
      <c r="AK41"/>
      <c r="AL41" s="6">
        <v>0</v>
      </c>
      <c r="AM41"/>
      <c r="AN41" s="6">
        <v>0</v>
      </c>
      <c r="AP41" s="6">
        <v>0</v>
      </c>
      <c r="AR41" s="6">
        <v>0</v>
      </c>
      <c r="AT41" s="6">
        <v>0</v>
      </c>
      <c r="AV41" s="6">
        <v>0</v>
      </c>
      <c r="AX41" s="6">
        <v>0</v>
      </c>
      <c r="AZ41" s="6">
        <v>0</v>
      </c>
      <c r="BB41" s="6">
        <v>0</v>
      </c>
      <c r="BD41" s="6">
        <v>0</v>
      </c>
      <c r="BF41" s="6">
        <v>0</v>
      </c>
      <c r="BH41" s="6">
        <v>0</v>
      </c>
      <c r="BJ41" s="6">
        <v>0</v>
      </c>
      <c r="BL41" s="6"/>
      <c r="BM41" s="6"/>
      <c r="BN41" s="6"/>
      <c r="BO41" s="6"/>
      <c r="BQ41" s="6"/>
      <c r="BR41" s="6"/>
      <c r="BS41" s="6"/>
      <c r="BX41" s="4"/>
    </row>
    <row r="42" spans="1:77">
      <c r="A42" s="100"/>
      <c r="B42" s="228" t="s">
        <v>295</v>
      </c>
      <c r="C42"/>
      <c r="D42"/>
      <c r="E42"/>
      <c r="F42"/>
      <c r="G42"/>
      <c r="H42"/>
      <c r="I42"/>
      <c r="J42" s="49"/>
      <c r="K42"/>
      <c r="L42" s="132"/>
      <c r="M42" s="6"/>
      <c r="O42" s="6"/>
      <c r="Q42" s="6"/>
      <c r="S42" s="6"/>
      <c r="T42" s="6"/>
      <c r="U42" s="6"/>
      <c r="V42" s="6"/>
      <c r="X42" s="6"/>
      <c r="Z42" s="6"/>
      <c r="AB42" s="6"/>
      <c r="AD42" s="6"/>
      <c r="AI42"/>
      <c r="AK42"/>
      <c r="AM42"/>
      <c r="BL42" s="6"/>
      <c r="BM42" s="6"/>
      <c r="BN42" s="6"/>
      <c r="BO42" s="6"/>
      <c r="BQ42" s="6"/>
      <c r="BR42" s="6"/>
      <c r="BS42" s="6"/>
      <c r="BX42" s="4"/>
    </row>
    <row r="43" spans="1:77">
      <c r="A43" s="100"/>
      <c r="B43" s="229" t="s">
        <v>293</v>
      </c>
      <c r="C43"/>
      <c r="D43"/>
      <c r="E43"/>
      <c r="F43"/>
      <c r="G43"/>
      <c r="H43"/>
      <c r="I43"/>
      <c r="J43" s="49" t="s">
        <v>229</v>
      </c>
      <c r="K43"/>
      <c r="L43" s="132" t="s">
        <v>202</v>
      </c>
      <c r="M43" s="6"/>
      <c r="O43" s="6"/>
      <c r="Q43" s="6"/>
      <c r="R43" s="231">
        <v>1493645</v>
      </c>
      <c r="S43" s="6"/>
      <c r="T43" s="6"/>
      <c r="U43" s="6"/>
      <c r="V43" s="6"/>
      <c r="X43" s="6"/>
      <c r="Z43" s="6"/>
      <c r="AB43" s="6"/>
      <c r="AD43" s="6"/>
      <c r="AI43"/>
      <c r="AK43"/>
      <c r="AM43"/>
      <c r="AR43" s="6">
        <v>11452</v>
      </c>
      <c r="AV43" s="6">
        <f>104705-11452</f>
        <v>93253</v>
      </c>
      <c r="AZ43" s="6">
        <f>490688-104705</f>
        <v>385983</v>
      </c>
      <c r="BH43" s="6">
        <f>1344184-490688</f>
        <v>853496</v>
      </c>
      <c r="BL43"/>
      <c r="BM43" s="6"/>
      <c r="BN43"/>
      <c r="BO43" s="6"/>
      <c r="BP43" s="6">
        <f t="shared" ref="BP43:BP53" si="9">SUM(T43:BO43)</f>
        <v>1344184</v>
      </c>
      <c r="BQ43" s="6"/>
      <c r="BR43" s="6">
        <f>1508635-1493645</f>
        <v>14990</v>
      </c>
      <c r="BS43" s="6"/>
      <c r="BT43" s="6">
        <f>IF(+R43-AR43+BR43&gt;0,R43-AR43+BR43,0)</f>
        <v>1497183</v>
      </c>
      <c r="BV43" s="6">
        <f>+AR43+BT43</f>
        <v>1508635</v>
      </c>
      <c r="BX43" s="6">
        <f t="shared" ref="BX43:BX52" si="10">+R43-BV43</f>
        <v>-14990</v>
      </c>
    </row>
    <row r="44" spans="1:77">
      <c r="A44" s="100"/>
      <c r="B44" s="229" t="s">
        <v>382</v>
      </c>
      <c r="C44"/>
      <c r="D44"/>
      <c r="E44"/>
      <c r="F44"/>
      <c r="G44"/>
      <c r="H44"/>
      <c r="I44"/>
      <c r="J44" s="49" t="s">
        <v>229</v>
      </c>
      <c r="K44"/>
      <c r="L44" s="132" t="s">
        <v>202</v>
      </c>
      <c r="M44" s="6"/>
      <c r="O44" s="6"/>
      <c r="Q44" s="6"/>
      <c r="R44" s="231">
        <v>1564045</v>
      </c>
      <c r="S44" s="6"/>
      <c r="T44" s="6"/>
      <c r="U44" s="6"/>
      <c r="V44" s="6"/>
      <c r="X44" s="6"/>
      <c r="Z44" s="6"/>
      <c r="AB44" s="6"/>
      <c r="AD44" s="6"/>
      <c r="AI44"/>
      <c r="AK44"/>
      <c r="AM44"/>
      <c r="AR44" s="6">
        <f>43084+12404</f>
        <v>55488</v>
      </c>
      <c r="AV44" s="6">
        <f>101222-43084+6007</f>
        <v>64145</v>
      </c>
      <c r="AZ44" s="6">
        <f>454688-119633</f>
        <v>335055</v>
      </c>
      <c r="BH44" s="6">
        <f>1597694-454688</f>
        <v>1143006</v>
      </c>
      <c r="BL44"/>
      <c r="BM44" s="6"/>
      <c r="BN44"/>
      <c r="BO44" s="6"/>
      <c r="BP44" s="6">
        <f t="shared" si="9"/>
        <v>1597694</v>
      </c>
      <c r="BQ44" s="6"/>
      <c r="BR44" s="6">
        <f>2075718-1564045</f>
        <v>511673</v>
      </c>
      <c r="BS44" s="6"/>
      <c r="BT44" s="6">
        <f>IF(+R44-AR44+BR44&gt;0,R44-AR44+BR44,0)</f>
        <v>2020230</v>
      </c>
      <c r="BV44" s="6">
        <f>+AR44+BT44</f>
        <v>2075718</v>
      </c>
      <c r="BX44" s="6">
        <f t="shared" si="10"/>
        <v>-511673</v>
      </c>
    </row>
    <row r="45" spans="1:77">
      <c r="A45" s="100"/>
      <c r="B45" s="229" t="s">
        <v>383</v>
      </c>
      <c r="C45"/>
      <c r="D45"/>
      <c r="E45"/>
      <c r="F45"/>
      <c r="G45"/>
      <c r="H45"/>
      <c r="I45"/>
      <c r="J45" s="49" t="s">
        <v>229</v>
      </c>
      <c r="K45"/>
      <c r="L45" s="132" t="s">
        <v>202</v>
      </c>
      <c r="M45" s="6"/>
      <c r="O45" s="6"/>
      <c r="Q45" s="6"/>
      <c r="R45" s="231">
        <v>11021245</v>
      </c>
      <c r="S45" s="6"/>
      <c r="T45" s="6"/>
      <c r="U45" s="6"/>
      <c r="V45" s="6"/>
      <c r="X45" s="6"/>
      <c r="Z45" s="6"/>
      <c r="AB45" s="6"/>
      <c r="AD45" s="6"/>
      <c r="AI45"/>
      <c r="AK45"/>
      <c r="AM45"/>
      <c r="AR45" s="6">
        <f>12159+19967+81333+95392+14212+60494</f>
        <v>283557</v>
      </c>
      <c r="AV45" s="6">
        <f>255585-12159+144018+47209+57725+37856+633442+59744</f>
        <v>1223420</v>
      </c>
      <c r="AZ45" s="258">
        <f>2452211-1506977</f>
        <v>945234</v>
      </c>
      <c r="BH45" s="6">
        <f>3634383-2452211</f>
        <v>1182172</v>
      </c>
      <c r="BL45"/>
      <c r="BM45" s="6"/>
      <c r="BN45"/>
      <c r="BO45" s="6"/>
      <c r="BP45" s="6">
        <f t="shared" si="9"/>
        <v>3634383</v>
      </c>
      <c r="BQ45" s="6"/>
      <c r="BR45" s="6">
        <f>11814208-11021245</f>
        <v>792963</v>
      </c>
      <c r="BS45" s="6"/>
      <c r="BT45" s="6">
        <f>IF(+R45-AR45+BR45&gt;0,R45-AR45+BR45,0)</f>
        <v>11530651</v>
      </c>
      <c r="BV45" s="6">
        <f>+AR45+BT45</f>
        <v>11814208</v>
      </c>
      <c r="BX45" s="6">
        <f t="shared" si="10"/>
        <v>-792963</v>
      </c>
    </row>
    <row r="46" spans="1:77">
      <c r="A46" s="100"/>
      <c r="B46" s="229" t="s">
        <v>22</v>
      </c>
      <c r="C46"/>
      <c r="D46"/>
      <c r="E46"/>
      <c r="F46"/>
      <c r="G46"/>
      <c r="H46"/>
      <c r="I46"/>
      <c r="J46" s="49" t="s">
        <v>229</v>
      </c>
      <c r="K46"/>
      <c r="L46" s="132" t="s">
        <v>202</v>
      </c>
      <c r="M46" s="6"/>
      <c r="N46" s="6">
        <v>0</v>
      </c>
      <c r="O46" s="6"/>
      <c r="P46" s="6">
        <v>0</v>
      </c>
      <c r="Q46" s="6"/>
      <c r="R46" s="231">
        <v>538785</v>
      </c>
      <c r="S46" s="6"/>
      <c r="T46" s="6">
        <v>0</v>
      </c>
      <c r="U46" s="6"/>
      <c r="V46" s="6">
        <v>0</v>
      </c>
      <c r="X46" s="6">
        <v>0</v>
      </c>
      <c r="Z46" s="6">
        <v>0</v>
      </c>
      <c r="AB46" s="6">
        <v>0</v>
      </c>
      <c r="AD46" s="6">
        <v>0</v>
      </c>
      <c r="AF46" s="6">
        <v>0</v>
      </c>
      <c r="AH46" s="6">
        <v>0</v>
      </c>
      <c r="AI46"/>
      <c r="AJ46" s="6">
        <v>0</v>
      </c>
      <c r="AK46"/>
      <c r="AL46" s="6">
        <v>0</v>
      </c>
      <c r="AM46"/>
      <c r="AN46" s="6">
        <v>0</v>
      </c>
      <c r="AP46" s="6">
        <v>0</v>
      </c>
      <c r="AR46" s="6">
        <v>58714</v>
      </c>
      <c r="AT46" s="6">
        <v>0</v>
      </c>
      <c r="AV46" s="6">
        <f>97285-58714</f>
        <v>38571</v>
      </c>
      <c r="AX46" s="6">
        <v>0</v>
      </c>
      <c r="AZ46" s="6">
        <f>272628-97285</f>
        <v>175343</v>
      </c>
      <c r="BB46" s="6">
        <v>0</v>
      </c>
      <c r="BD46" s="6">
        <v>0</v>
      </c>
      <c r="BH46" s="6">
        <f>464879-272628</f>
        <v>192251</v>
      </c>
      <c r="BJ46" s="6">
        <v>0</v>
      </c>
      <c r="BL46"/>
      <c r="BM46" s="6"/>
      <c r="BN46"/>
      <c r="BO46" s="6"/>
      <c r="BP46" s="6">
        <f t="shared" si="9"/>
        <v>464879</v>
      </c>
      <c r="BQ46" s="6"/>
      <c r="BR46" s="6">
        <f>592469-538785</f>
        <v>53684</v>
      </c>
      <c r="BS46" s="6"/>
      <c r="BT46" s="6">
        <f>IF(+R46-AR46+BR46&gt;0,R46-AR46+BR46,0)</f>
        <v>533755</v>
      </c>
      <c r="BV46" s="6">
        <f>+AR46+BT46</f>
        <v>592469</v>
      </c>
      <c r="BX46" s="6">
        <f t="shared" si="10"/>
        <v>-53684</v>
      </c>
    </row>
    <row r="47" spans="1:77">
      <c r="A47" s="100"/>
      <c r="B47" s="229" t="s">
        <v>364</v>
      </c>
      <c r="C47"/>
      <c r="D47"/>
      <c r="E47"/>
      <c r="F47"/>
      <c r="G47"/>
      <c r="H47"/>
      <c r="I47"/>
      <c r="J47" s="49" t="s">
        <v>229</v>
      </c>
      <c r="K47"/>
      <c r="L47" s="132" t="s">
        <v>202</v>
      </c>
      <c r="M47" s="6"/>
      <c r="N47" s="6">
        <v>0</v>
      </c>
      <c r="O47" s="6"/>
      <c r="P47" s="6">
        <v>0</v>
      </c>
      <c r="Q47" s="6"/>
      <c r="R47" s="231">
        <v>150000</v>
      </c>
      <c r="S47" s="6"/>
      <c r="T47" s="6">
        <v>0</v>
      </c>
      <c r="U47" s="6"/>
      <c r="V47" s="6">
        <v>0</v>
      </c>
      <c r="X47" s="6">
        <v>0</v>
      </c>
      <c r="Z47" s="6">
        <v>0</v>
      </c>
      <c r="AB47" s="6">
        <v>0</v>
      </c>
      <c r="AD47" s="6">
        <v>0</v>
      </c>
      <c r="AF47" s="6">
        <v>0</v>
      </c>
      <c r="AH47" s="6">
        <v>0</v>
      </c>
      <c r="AI47"/>
      <c r="AJ47" s="6">
        <v>0</v>
      </c>
      <c r="AK47"/>
      <c r="AL47" s="6">
        <v>0</v>
      </c>
      <c r="AM47"/>
      <c r="AN47" s="6">
        <v>0</v>
      </c>
      <c r="AP47" s="6">
        <v>0</v>
      </c>
      <c r="AR47" s="6">
        <v>11607</v>
      </c>
      <c r="AT47" s="6">
        <v>0</v>
      </c>
      <c r="AV47" s="6">
        <f>77250-11607</f>
        <v>65643</v>
      </c>
      <c r="AX47" s="6">
        <v>0</v>
      </c>
      <c r="AZ47" s="6">
        <f>57394-77250</f>
        <v>-19856</v>
      </c>
      <c r="BB47" s="6">
        <v>0</v>
      </c>
      <c r="BD47" s="6">
        <v>0</v>
      </c>
      <c r="BH47" s="6">
        <f>137472-57394</f>
        <v>80078</v>
      </c>
      <c r="BJ47" s="6">
        <v>0</v>
      </c>
      <c r="BL47"/>
      <c r="BM47" s="6"/>
      <c r="BN47"/>
      <c r="BO47" s="6"/>
      <c r="BP47" s="6">
        <f t="shared" si="9"/>
        <v>137472</v>
      </c>
      <c r="BQ47" s="6"/>
      <c r="BR47" s="6">
        <v>0</v>
      </c>
      <c r="BS47" s="6"/>
      <c r="BT47" s="6">
        <f>IF(+R47-AR47+BR47&gt;0,R47-AR47+BR47,0)</f>
        <v>138393</v>
      </c>
      <c r="BV47" s="6">
        <f>+AR47+BT47</f>
        <v>150000</v>
      </c>
      <c r="BX47" s="6">
        <f t="shared" si="10"/>
        <v>0</v>
      </c>
    </row>
    <row r="48" spans="1:77">
      <c r="A48" s="100"/>
      <c r="B48" s="229" t="s">
        <v>190</v>
      </c>
      <c r="C48"/>
      <c r="D48"/>
      <c r="E48"/>
      <c r="F48"/>
      <c r="G48"/>
      <c r="H48"/>
      <c r="I48"/>
      <c r="J48" s="49" t="s">
        <v>229</v>
      </c>
      <c r="K48"/>
      <c r="L48" s="132" t="s">
        <v>202</v>
      </c>
      <c r="M48" s="6"/>
      <c r="N48" s="6">
        <v>0</v>
      </c>
      <c r="O48" s="6"/>
      <c r="P48" s="6">
        <v>0</v>
      </c>
      <c r="Q48" s="6"/>
      <c r="R48" s="231">
        <v>0</v>
      </c>
      <c r="S48" s="6"/>
      <c r="T48" s="6">
        <v>0</v>
      </c>
      <c r="U48" s="6"/>
      <c r="V48" s="6">
        <v>0</v>
      </c>
      <c r="X48" s="6">
        <v>0</v>
      </c>
      <c r="Z48" s="6">
        <v>0</v>
      </c>
      <c r="AB48" s="6">
        <v>0</v>
      </c>
      <c r="AD48" s="6">
        <v>0</v>
      </c>
      <c r="AF48" s="6">
        <v>0</v>
      </c>
      <c r="AH48" s="6">
        <v>0</v>
      </c>
      <c r="AI48"/>
      <c r="AJ48" s="6">
        <v>0</v>
      </c>
      <c r="AK48"/>
      <c r="AL48" s="6">
        <v>0</v>
      </c>
      <c r="AM48"/>
      <c r="AN48" s="6">
        <v>0</v>
      </c>
      <c r="AP48" s="6">
        <v>0</v>
      </c>
      <c r="AR48" s="6">
        <v>0</v>
      </c>
      <c r="AT48" s="6">
        <v>0</v>
      </c>
      <c r="AV48" s="6">
        <v>0</v>
      </c>
      <c r="AX48" s="6">
        <v>0</v>
      </c>
      <c r="AZ48" s="6">
        <v>0</v>
      </c>
      <c r="BB48" s="6">
        <v>0</v>
      </c>
      <c r="BD48" s="6">
        <v>0</v>
      </c>
      <c r="BF48" s="6">
        <v>0</v>
      </c>
      <c r="BH48" s="6">
        <v>0</v>
      </c>
      <c r="BJ48" s="6">
        <v>0</v>
      </c>
      <c r="BL48" s="6"/>
      <c r="BM48" s="6"/>
      <c r="BN48" s="6"/>
      <c r="BO48" s="6"/>
      <c r="BP48" s="6">
        <f t="shared" si="9"/>
        <v>0</v>
      </c>
      <c r="BQ48" s="6"/>
      <c r="BR48" s="6">
        <v>421112</v>
      </c>
      <c r="BS48" s="6"/>
      <c r="BT48" s="6">
        <f t="shared" ref="BT48:BT53" si="11">IF(+R48-BP48+BR48&gt;0,R48-BP48+BR48,0)</f>
        <v>421112</v>
      </c>
      <c r="BV48" s="6">
        <f t="shared" ref="BV48:BV53" si="12">+BP48+BT48</f>
        <v>421112</v>
      </c>
      <c r="BX48" s="6">
        <f t="shared" si="10"/>
        <v>-421112</v>
      </c>
    </row>
    <row r="49" spans="1:76">
      <c r="A49" s="100"/>
      <c r="B49" s="229" t="s">
        <v>294</v>
      </c>
      <c r="C49"/>
      <c r="D49"/>
      <c r="E49"/>
      <c r="F49"/>
      <c r="G49"/>
      <c r="H49"/>
      <c r="I49"/>
      <c r="J49" s="49"/>
      <c r="K49"/>
      <c r="L49" s="132" t="s">
        <v>202</v>
      </c>
      <c r="M49" s="6"/>
      <c r="N49" s="6">
        <v>0</v>
      </c>
      <c r="O49" s="6"/>
      <c r="P49" s="6">
        <v>0</v>
      </c>
      <c r="Q49" s="6"/>
      <c r="R49" s="231">
        <v>-2832</v>
      </c>
      <c r="S49" s="6"/>
      <c r="T49" s="6">
        <v>0</v>
      </c>
      <c r="U49" s="6"/>
      <c r="V49" s="6">
        <v>0</v>
      </c>
      <c r="X49" s="6">
        <v>0</v>
      </c>
      <c r="Z49" s="6">
        <v>0</v>
      </c>
      <c r="AB49" s="6">
        <v>0</v>
      </c>
      <c r="AD49" s="6">
        <v>0</v>
      </c>
      <c r="AF49" s="6">
        <v>0</v>
      </c>
      <c r="AH49" s="6">
        <v>0</v>
      </c>
      <c r="AI49"/>
      <c r="AJ49" s="6">
        <v>0</v>
      </c>
      <c r="AK49"/>
      <c r="AL49" s="6">
        <v>0</v>
      </c>
      <c r="AM49"/>
      <c r="AN49" s="6">
        <v>0</v>
      </c>
      <c r="AP49" s="6">
        <v>0</v>
      </c>
      <c r="AR49" s="6">
        <v>0</v>
      </c>
      <c r="AT49" s="6">
        <v>0</v>
      </c>
      <c r="AV49" s="6">
        <v>0</v>
      </c>
      <c r="AX49" s="6">
        <v>0</v>
      </c>
      <c r="AZ49" s="6">
        <v>0</v>
      </c>
      <c r="BB49" s="6">
        <v>0</v>
      </c>
      <c r="BD49" s="6">
        <v>0</v>
      </c>
      <c r="BF49" s="6">
        <v>0</v>
      </c>
      <c r="BH49" s="6">
        <v>0</v>
      </c>
      <c r="BJ49" s="6">
        <v>0</v>
      </c>
      <c r="BL49" s="6"/>
      <c r="BM49" s="6"/>
      <c r="BN49" s="6"/>
      <c r="BO49" s="6"/>
      <c r="BP49" s="6">
        <f t="shared" si="9"/>
        <v>0</v>
      </c>
      <c r="BQ49" s="6"/>
      <c r="BR49" s="6"/>
      <c r="BS49" s="6"/>
      <c r="BT49" s="6">
        <f t="shared" si="11"/>
        <v>0</v>
      </c>
      <c r="BV49" s="6">
        <f t="shared" si="12"/>
        <v>0</v>
      </c>
      <c r="BX49" s="6">
        <f t="shared" si="10"/>
        <v>-2832</v>
      </c>
    </row>
    <row r="50" spans="1:76">
      <c r="A50" s="100"/>
      <c r="B50" s="229" t="s">
        <v>369</v>
      </c>
      <c r="C50"/>
      <c r="D50"/>
      <c r="E50"/>
      <c r="F50"/>
      <c r="G50"/>
      <c r="H50"/>
      <c r="I50"/>
      <c r="J50" s="49"/>
      <c r="K50"/>
      <c r="L50" s="132"/>
      <c r="M50" s="6"/>
      <c r="O50" s="6"/>
      <c r="Q50" s="6"/>
      <c r="R50" s="231"/>
      <c r="S50" s="6"/>
      <c r="T50" s="6"/>
      <c r="U50" s="6"/>
      <c r="V50" s="6"/>
      <c r="X50" s="6"/>
      <c r="Z50" s="6"/>
      <c r="AB50" s="6"/>
      <c r="AD50" s="6"/>
      <c r="AI50"/>
      <c r="AK50"/>
      <c r="AM50"/>
      <c r="AZ50" s="6">
        <v>34274</v>
      </c>
      <c r="BH50" s="6">
        <v>104120</v>
      </c>
      <c r="BL50" s="6"/>
      <c r="BM50" s="6"/>
      <c r="BN50" s="6"/>
      <c r="BO50" s="6"/>
      <c r="BP50" s="6">
        <f t="shared" si="9"/>
        <v>138394</v>
      </c>
      <c r="BQ50" s="6"/>
      <c r="BR50" s="6">
        <v>0</v>
      </c>
      <c r="BS50" s="6"/>
      <c r="BT50" s="6">
        <f>IF(+R50-BP50+BR50&gt;0,R50-BP50+BR50,0)</f>
        <v>0</v>
      </c>
      <c r="BV50" s="6">
        <f>+BP50+BT50</f>
        <v>138394</v>
      </c>
      <c r="BX50" s="6">
        <f t="shared" si="10"/>
        <v>-138394</v>
      </c>
    </row>
    <row r="51" spans="1:76">
      <c r="A51" s="100"/>
      <c r="B51" s="229" t="s">
        <v>366</v>
      </c>
      <c r="C51"/>
      <c r="D51"/>
      <c r="E51"/>
      <c r="F51"/>
      <c r="G51"/>
      <c r="H51"/>
      <c r="I51"/>
      <c r="J51" s="49"/>
      <c r="K51"/>
      <c r="L51" s="132"/>
      <c r="M51" s="6"/>
      <c r="O51" s="6"/>
      <c r="Q51" s="6"/>
      <c r="S51" s="6"/>
      <c r="T51" s="6"/>
      <c r="U51" s="6"/>
      <c r="V51" s="6"/>
      <c r="X51" s="6"/>
      <c r="Z51" s="6"/>
      <c r="AB51" s="6"/>
      <c r="AD51" s="6"/>
      <c r="AI51"/>
      <c r="AK51"/>
      <c r="AM51"/>
      <c r="AV51" s="6">
        <v>19839</v>
      </c>
      <c r="AZ51" s="6">
        <f>61465-19839</f>
        <v>41626</v>
      </c>
      <c r="BH51" s="6">
        <f>32425+454136</f>
        <v>486561</v>
      </c>
      <c r="BL51" s="6"/>
      <c r="BM51" s="6"/>
      <c r="BN51" s="6"/>
      <c r="BO51" s="6"/>
      <c r="BP51" s="6">
        <f>SUM(T51:BO51)</f>
        <v>548026</v>
      </c>
      <c r="BQ51" s="6"/>
      <c r="BR51" s="6">
        <v>0</v>
      </c>
      <c r="BS51" s="6"/>
      <c r="BT51" s="6">
        <f t="shared" si="11"/>
        <v>0</v>
      </c>
      <c r="BV51" s="6">
        <f t="shared" si="12"/>
        <v>548026</v>
      </c>
      <c r="BX51" s="6">
        <f t="shared" si="10"/>
        <v>-548026</v>
      </c>
    </row>
    <row r="52" spans="1:76">
      <c r="A52" s="100"/>
      <c r="B52" s="229" t="s">
        <v>372</v>
      </c>
      <c r="C52"/>
      <c r="D52"/>
      <c r="E52"/>
      <c r="F52"/>
      <c r="G52"/>
      <c r="H52"/>
      <c r="I52"/>
      <c r="J52" s="49"/>
      <c r="K52"/>
      <c r="L52" s="132"/>
      <c r="M52" s="6"/>
      <c r="O52" s="6"/>
      <c r="Q52" s="6"/>
      <c r="S52" s="6"/>
      <c r="T52" s="6"/>
      <c r="U52" s="6"/>
      <c r="V52" s="6"/>
      <c r="X52" s="6"/>
      <c r="Z52" s="6"/>
      <c r="AB52" s="6"/>
      <c r="AD52" s="6"/>
      <c r="AI52"/>
      <c r="AK52"/>
      <c r="AM52"/>
      <c r="AV52" s="6">
        <v>264288</v>
      </c>
      <c r="AZ52" s="6">
        <f>281729-264288</f>
        <v>17441</v>
      </c>
      <c r="BL52" s="6"/>
      <c r="BM52" s="6"/>
      <c r="BN52" s="6"/>
      <c r="BO52" s="6"/>
      <c r="BP52" s="6">
        <f>SUM(T52:BO52)</f>
        <v>281729</v>
      </c>
      <c r="BQ52" s="6"/>
      <c r="BR52" s="6">
        <v>263743</v>
      </c>
      <c r="BS52" s="6"/>
      <c r="BT52" s="6">
        <f t="shared" si="11"/>
        <v>0</v>
      </c>
      <c r="BV52" s="6">
        <f t="shared" si="12"/>
        <v>281729</v>
      </c>
      <c r="BX52" s="6">
        <f t="shared" si="10"/>
        <v>-281729</v>
      </c>
    </row>
    <row r="53" spans="1:76">
      <c r="A53" s="100"/>
      <c r="B53" s="229"/>
      <c r="C53"/>
      <c r="D53"/>
      <c r="E53"/>
      <c r="F53"/>
      <c r="G53"/>
      <c r="H53"/>
      <c r="I53"/>
      <c r="J53" s="49"/>
      <c r="K53"/>
      <c r="L53" s="132" t="s">
        <v>202</v>
      </c>
      <c r="M53" s="6"/>
      <c r="N53" s="6">
        <v>0</v>
      </c>
      <c r="O53" s="6"/>
      <c r="P53" s="6">
        <v>0</v>
      </c>
      <c r="Q53" s="6"/>
      <c r="S53" s="6"/>
      <c r="T53" s="6">
        <v>0</v>
      </c>
      <c r="U53" s="6"/>
      <c r="V53" s="6">
        <v>0</v>
      </c>
      <c r="X53" s="6">
        <v>0</v>
      </c>
      <c r="Z53" s="6">
        <v>0</v>
      </c>
      <c r="AB53" s="6">
        <v>0</v>
      </c>
      <c r="AD53" s="6">
        <v>0</v>
      </c>
      <c r="AF53" s="6">
        <v>0</v>
      </c>
      <c r="AH53" s="6">
        <v>0</v>
      </c>
      <c r="AI53"/>
      <c r="AJ53" s="6">
        <v>0</v>
      </c>
      <c r="AK53"/>
      <c r="AL53" s="6">
        <v>0</v>
      </c>
      <c r="AM53"/>
      <c r="AN53" s="6">
        <v>0</v>
      </c>
      <c r="AP53" s="6">
        <v>0</v>
      </c>
      <c r="AR53" s="6">
        <v>0</v>
      </c>
      <c r="AT53" s="6">
        <v>0</v>
      </c>
      <c r="AV53" s="6">
        <v>0</v>
      </c>
      <c r="AX53" s="6">
        <v>0</v>
      </c>
      <c r="AZ53" s="6">
        <v>0</v>
      </c>
      <c r="BB53" s="6">
        <v>0</v>
      </c>
      <c r="BD53" s="6">
        <v>0</v>
      </c>
      <c r="BF53" s="6">
        <v>0</v>
      </c>
      <c r="BH53" s="6">
        <v>0</v>
      </c>
      <c r="BJ53" s="6">
        <v>0</v>
      </c>
      <c r="BL53" s="6"/>
      <c r="BM53" s="6"/>
      <c r="BN53" s="6"/>
      <c r="BO53" s="6"/>
      <c r="BP53" s="6">
        <f t="shared" si="9"/>
        <v>0</v>
      </c>
      <c r="BQ53" s="6"/>
      <c r="BR53" s="6"/>
      <c r="BS53" s="6"/>
      <c r="BT53" s="6">
        <f t="shared" si="11"/>
        <v>0</v>
      </c>
      <c r="BV53" s="6">
        <f t="shared" si="12"/>
        <v>0</v>
      </c>
      <c r="BX53" s="6">
        <f>+R53-BV53</f>
        <v>0</v>
      </c>
    </row>
    <row r="54" spans="1:76" s="21" customFormat="1">
      <c r="A54" s="283"/>
      <c r="B54" s="232" t="s">
        <v>296</v>
      </c>
      <c r="J54" s="8"/>
      <c r="L54" s="141" t="s">
        <v>202</v>
      </c>
      <c r="M54" s="9"/>
      <c r="N54" s="9">
        <v>0</v>
      </c>
      <c r="O54" s="9"/>
      <c r="P54" s="9">
        <v>0</v>
      </c>
      <c r="Q54" s="9"/>
      <c r="R54" s="9">
        <f t="shared" ref="R54:AH54" si="13">SUM(R43:R53)</f>
        <v>14764888</v>
      </c>
      <c r="S54" s="9">
        <f t="shared" si="13"/>
        <v>0</v>
      </c>
      <c r="T54" s="9">
        <f t="shared" si="13"/>
        <v>0</v>
      </c>
      <c r="U54" s="9">
        <f t="shared" si="13"/>
        <v>0</v>
      </c>
      <c r="V54" s="9">
        <f t="shared" si="13"/>
        <v>0</v>
      </c>
      <c r="W54" s="9">
        <f t="shared" si="13"/>
        <v>0</v>
      </c>
      <c r="X54" s="9">
        <f t="shared" si="13"/>
        <v>0</v>
      </c>
      <c r="Y54" s="9">
        <f t="shared" si="13"/>
        <v>0</v>
      </c>
      <c r="Z54" s="9">
        <f t="shared" si="13"/>
        <v>0</v>
      </c>
      <c r="AA54" s="9">
        <f t="shared" si="13"/>
        <v>0</v>
      </c>
      <c r="AB54" s="9">
        <f t="shared" si="13"/>
        <v>0</v>
      </c>
      <c r="AC54" s="9">
        <f t="shared" si="13"/>
        <v>0</v>
      </c>
      <c r="AD54" s="9">
        <f t="shared" si="13"/>
        <v>0</v>
      </c>
      <c r="AE54" s="9">
        <f t="shared" si="13"/>
        <v>0</v>
      </c>
      <c r="AF54" s="9">
        <f t="shared" si="13"/>
        <v>0</v>
      </c>
      <c r="AG54" s="9">
        <f t="shared" si="13"/>
        <v>0</v>
      </c>
      <c r="AH54" s="9">
        <f t="shared" si="13"/>
        <v>0</v>
      </c>
      <c r="AI54" s="9"/>
      <c r="AJ54" s="9">
        <f>SUM(AJ43:AJ53)</f>
        <v>0</v>
      </c>
      <c r="AK54" s="9"/>
      <c r="AL54" s="9">
        <f>SUM(AL43:AL53)</f>
        <v>0</v>
      </c>
      <c r="AM54" s="9"/>
      <c r="AN54" s="9">
        <f>SUM(AN43:AN53)</f>
        <v>0</v>
      </c>
      <c r="AO54" s="9"/>
      <c r="AP54" s="9">
        <f>SUM(AP43:AP53)</f>
        <v>0</v>
      </c>
      <c r="AQ54" s="9"/>
      <c r="AR54" s="9">
        <f t="shared" ref="AR54:BV54" si="14">SUM(AR43:AR53)</f>
        <v>420818</v>
      </c>
      <c r="AS54" s="9">
        <f t="shared" si="14"/>
        <v>0</v>
      </c>
      <c r="AT54" s="9">
        <f t="shared" si="14"/>
        <v>0</v>
      </c>
      <c r="AU54" s="9">
        <f t="shared" si="14"/>
        <v>0</v>
      </c>
      <c r="AV54" s="9">
        <f t="shared" si="14"/>
        <v>1769159</v>
      </c>
      <c r="AW54" s="9">
        <f t="shared" si="14"/>
        <v>0</v>
      </c>
      <c r="AX54" s="9">
        <f t="shared" si="14"/>
        <v>0</v>
      </c>
      <c r="AY54" s="9">
        <f t="shared" si="14"/>
        <v>0</v>
      </c>
      <c r="AZ54" s="9">
        <f t="shared" si="14"/>
        <v>1915100</v>
      </c>
      <c r="BA54" s="9">
        <f t="shared" si="14"/>
        <v>0</v>
      </c>
      <c r="BB54" s="9">
        <f t="shared" si="14"/>
        <v>0</v>
      </c>
      <c r="BC54"/>
      <c r="BD54" s="9">
        <f t="shared" si="14"/>
        <v>0</v>
      </c>
      <c r="BE54"/>
      <c r="BF54" s="9">
        <f t="shared" si="14"/>
        <v>0</v>
      </c>
      <c r="BG54" s="9">
        <f t="shared" si="14"/>
        <v>0</v>
      </c>
      <c r="BH54" s="9">
        <f t="shared" si="14"/>
        <v>4041684</v>
      </c>
      <c r="BI54" s="9">
        <f t="shared" si="14"/>
        <v>0</v>
      </c>
      <c r="BJ54" s="9">
        <f t="shared" si="14"/>
        <v>0</v>
      </c>
      <c r="BK54" s="9">
        <f t="shared" si="14"/>
        <v>0</v>
      </c>
      <c r="BL54" s="9">
        <f t="shared" si="14"/>
        <v>0</v>
      </c>
      <c r="BM54" s="9">
        <f t="shared" si="14"/>
        <v>0</v>
      </c>
      <c r="BN54" s="9">
        <f t="shared" si="14"/>
        <v>0</v>
      </c>
      <c r="BO54" s="9">
        <f t="shared" si="14"/>
        <v>0</v>
      </c>
      <c r="BP54" s="9">
        <f t="shared" si="14"/>
        <v>8146761</v>
      </c>
      <c r="BQ54" s="9">
        <f t="shared" si="14"/>
        <v>0</v>
      </c>
      <c r="BR54" s="9">
        <f t="shared" si="14"/>
        <v>2058165</v>
      </c>
      <c r="BS54" s="9">
        <f t="shared" si="14"/>
        <v>0</v>
      </c>
      <c r="BT54" s="9">
        <f t="shared" si="14"/>
        <v>16141324</v>
      </c>
      <c r="BU54" s="9">
        <f t="shared" si="14"/>
        <v>0</v>
      </c>
      <c r="BV54" s="9">
        <f t="shared" si="14"/>
        <v>17530291</v>
      </c>
      <c r="BW54" s="9"/>
      <c r="BX54" s="9">
        <f>+R54-BV54</f>
        <v>-2765403</v>
      </c>
    </row>
    <row r="55" spans="1:76">
      <c r="A55" s="100"/>
      <c r="B55" s="230"/>
      <c r="C55"/>
      <c r="D55"/>
      <c r="E55"/>
      <c r="F55"/>
      <c r="G55"/>
      <c r="H55"/>
      <c r="I55"/>
      <c r="J55" s="49"/>
      <c r="K55"/>
      <c r="L55" s="132"/>
      <c r="M55" s="6"/>
      <c r="O55" s="6"/>
      <c r="Q55" s="6"/>
      <c r="S55" s="6"/>
      <c r="T55" s="6"/>
      <c r="U55" s="6"/>
      <c r="V55" s="6"/>
      <c r="X55" s="6"/>
      <c r="Z55" s="6"/>
      <c r="AB55" s="6"/>
      <c r="AD55" s="6"/>
      <c r="AI55"/>
      <c r="AK55"/>
      <c r="AM55"/>
      <c r="BL55" s="6"/>
      <c r="BM55" s="6"/>
      <c r="BN55" s="6"/>
      <c r="BO55" s="6"/>
      <c r="BQ55" s="6"/>
      <c r="BR55" s="6"/>
      <c r="BS55" s="6"/>
      <c r="BX55" s="4"/>
    </row>
    <row r="56" spans="1:76">
      <c r="B56" s="21" t="s">
        <v>297</v>
      </c>
      <c r="C56"/>
      <c r="D56"/>
      <c r="E56"/>
      <c r="F56"/>
      <c r="G56"/>
      <c r="H56"/>
      <c r="I56"/>
      <c r="J56" s="49"/>
      <c r="K56"/>
      <c r="L56" s="132"/>
      <c r="M56" s="6"/>
      <c r="O56" s="6"/>
      <c r="Q56" s="6"/>
      <c r="S56" s="6"/>
      <c r="T56" s="6"/>
      <c r="U56" s="6"/>
      <c r="V56" s="6"/>
      <c r="X56" s="6"/>
      <c r="Z56" s="6"/>
      <c r="AB56" s="6"/>
      <c r="AD56" s="6"/>
      <c r="AI56"/>
      <c r="AK56"/>
      <c r="AM56"/>
      <c r="BL56" s="6"/>
      <c r="BM56" s="6"/>
      <c r="BN56" s="6"/>
      <c r="BO56" s="6"/>
      <c r="BQ56" s="6"/>
      <c r="BR56" s="6"/>
      <c r="BS56" s="6"/>
      <c r="BX56" s="4"/>
    </row>
    <row r="57" spans="1:76">
      <c r="A57" s="30"/>
      <c r="B57" s="229" t="s">
        <v>384</v>
      </c>
      <c r="C57"/>
      <c r="D57"/>
      <c r="E57"/>
      <c r="F57"/>
      <c r="G57"/>
      <c r="H57"/>
      <c r="I57"/>
      <c r="J57" s="49" t="s">
        <v>229</v>
      </c>
      <c r="K57"/>
      <c r="L57" s="132"/>
      <c r="M57" s="6"/>
      <c r="O57" s="6"/>
      <c r="Q57" s="6"/>
      <c r="R57" s="231">
        <v>200485</v>
      </c>
      <c r="S57" s="6"/>
      <c r="T57" s="6"/>
      <c r="U57" s="6"/>
      <c r="V57" s="6"/>
      <c r="X57" s="6"/>
      <c r="Z57" s="6"/>
      <c r="AB57" s="6"/>
      <c r="AD57" s="6"/>
      <c r="AI57"/>
      <c r="AK57"/>
      <c r="AM57"/>
      <c r="AV57" s="6">
        <v>557</v>
      </c>
      <c r="AZ57" s="6">
        <f>117841-557</f>
        <v>117284</v>
      </c>
      <c r="BH57" s="6">
        <f>288544-117841</f>
        <v>170703</v>
      </c>
      <c r="BL57" s="6"/>
      <c r="BM57" s="6"/>
      <c r="BN57" s="6"/>
      <c r="BO57" s="6"/>
      <c r="BP57" s="6">
        <f>SUM(T57:BO57)</f>
        <v>288544</v>
      </c>
      <c r="BQ57" s="6"/>
      <c r="BR57" s="6"/>
      <c r="BS57" s="6"/>
      <c r="BT57" s="6">
        <f>IF(+R57-BP57+BR57&gt;0,R57-BP57+BR57,0)</f>
        <v>0</v>
      </c>
      <c r="BV57" s="6">
        <f>+BP57+BT57</f>
        <v>288544</v>
      </c>
      <c r="BX57" s="6">
        <f>+R57-BV57</f>
        <v>-88059</v>
      </c>
    </row>
    <row r="58" spans="1:76">
      <c r="A58" s="30"/>
      <c r="B58" s="229" t="s">
        <v>385</v>
      </c>
      <c r="C58"/>
      <c r="D58"/>
      <c r="E58"/>
      <c r="F58"/>
      <c r="G58"/>
      <c r="H58"/>
      <c r="I58"/>
      <c r="J58" s="49" t="s">
        <v>229</v>
      </c>
      <c r="K58"/>
      <c r="L58" s="132"/>
      <c r="M58" s="6"/>
      <c r="O58" s="6"/>
      <c r="Q58" s="6"/>
      <c r="R58" s="231">
        <v>3824394</v>
      </c>
      <c r="S58" s="6"/>
      <c r="T58" s="6"/>
      <c r="U58" s="6"/>
      <c r="V58" s="6"/>
      <c r="X58" s="6"/>
      <c r="Z58" s="6"/>
      <c r="AB58" s="6"/>
      <c r="AD58" s="6"/>
      <c r="AI58"/>
      <c r="AK58"/>
      <c r="AM58"/>
      <c r="AR58" s="6">
        <v>84021</v>
      </c>
      <c r="AV58" s="6">
        <v>224712</v>
      </c>
      <c r="AZ58" s="6">
        <f>2894530-308733</f>
        <v>2585797</v>
      </c>
      <c r="BH58" s="6">
        <f>3204369-2894530</f>
        <v>309839</v>
      </c>
      <c r="BL58" s="6"/>
      <c r="BM58" s="6"/>
      <c r="BN58" s="6"/>
      <c r="BO58" s="6"/>
      <c r="BP58" s="6">
        <f>SUM(T58:BO58)</f>
        <v>3204369</v>
      </c>
      <c r="BQ58" s="6"/>
      <c r="BR58" s="6">
        <f>3006669-3824394</f>
        <v>-817725</v>
      </c>
      <c r="BS58" s="6"/>
      <c r="BT58" s="6">
        <f>IF(+R58-BP58+BR58&gt;0,R58-BP58+BR58,0)</f>
        <v>0</v>
      </c>
      <c r="BV58" s="6">
        <f>+BP58+BT58</f>
        <v>3204369</v>
      </c>
      <c r="BX58" s="6">
        <f>+R58-BV58</f>
        <v>620025</v>
      </c>
    </row>
    <row r="59" spans="1:76">
      <c r="A59" s="30"/>
      <c r="B59" s="229" t="s">
        <v>19</v>
      </c>
      <c r="C59"/>
      <c r="D59"/>
      <c r="E59"/>
      <c r="F59"/>
      <c r="G59"/>
      <c r="H59"/>
      <c r="I59"/>
      <c r="J59" s="49" t="s">
        <v>229</v>
      </c>
      <c r="K59"/>
      <c r="L59" s="132"/>
      <c r="M59" s="6"/>
      <c r="O59" s="6"/>
      <c r="Q59" s="6"/>
      <c r="R59" s="231">
        <v>789260</v>
      </c>
      <c r="S59" s="6"/>
      <c r="T59" s="6"/>
      <c r="U59" s="6"/>
      <c r="V59" s="6"/>
      <c r="X59" s="6"/>
      <c r="Z59" s="6"/>
      <c r="AB59" s="6"/>
      <c r="AD59" s="6"/>
      <c r="AI59"/>
      <c r="AK59"/>
      <c r="AM59"/>
      <c r="AZ59" s="6">
        <v>276231</v>
      </c>
      <c r="BH59" s="6">
        <f>682994-276231</f>
        <v>406763</v>
      </c>
      <c r="BL59" s="6"/>
      <c r="BM59" s="6"/>
      <c r="BN59" s="6"/>
      <c r="BO59" s="6"/>
      <c r="BP59" s="6">
        <f>SUM(T59:BO59)</f>
        <v>682994</v>
      </c>
      <c r="BQ59" s="6"/>
      <c r="BR59" s="6">
        <v>0</v>
      </c>
      <c r="BS59" s="6"/>
      <c r="BT59" s="6">
        <f>IF(+R59-BP59+BR59&gt;0,R59-BP59+BR59,0)</f>
        <v>106266</v>
      </c>
      <c r="BV59" s="6">
        <f>+BP59+BT59</f>
        <v>789260</v>
      </c>
      <c r="BX59" s="6">
        <f>+R59-BV59</f>
        <v>0</v>
      </c>
    </row>
    <row r="60" spans="1:76">
      <c r="A60" s="30"/>
      <c r="B60" s="229" t="s">
        <v>386</v>
      </c>
      <c r="C60"/>
      <c r="D60"/>
      <c r="E60"/>
      <c r="F60"/>
      <c r="G60"/>
      <c r="H60"/>
      <c r="I60"/>
      <c r="J60" s="49" t="s">
        <v>229</v>
      </c>
      <c r="K60"/>
      <c r="L60" s="132"/>
      <c r="M60" s="6"/>
      <c r="O60" s="6"/>
      <c r="Q60" s="6"/>
      <c r="R60" s="231">
        <v>482700</v>
      </c>
      <c r="S60" s="6"/>
      <c r="T60" s="6"/>
      <c r="U60" s="6"/>
      <c r="V60" s="6"/>
      <c r="X60" s="6"/>
      <c r="Z60" s="6"/>
      <c r="AB60" s="6"/>
      <c r="AD60" s="6"/>
      <c r="AI60"/>
      <c r="AK60"/>
      <c r="AM60"/>
      <c r="AZ60" s="6">
        <v>174035</v>
      </c>
      <c r="BH60" s="6">
        <f>406264-174035</f>
        <v>232229</v>
      </c>
      <c r="BL60" s="6"/>
      <c r="BM60" s="6"/>
      <c r="BN60" s="6"/>
      <c r="BO60" s="6"/>
      <c r="BP60" s="6">
        <f>SUM(T60:BO60)</f>
        <v>406264</v>
      </c>
      <c r="BQ60" s="6"/>
      <c r="BR60" s="6">
        <f>442495-482700</f>
        <v>-40205</v>
      </c>
      <c r="BS60" s="6"/>
      <c r="BT60" s="6">
        <f>IF(+R60-BP60+BR60&gt;0,R60-BP60+BR60,0)</f>
        <v>36231</v>
      </c>
      <c r="BV60" s="6">
        <f>+BP60+BT60</f>
        <v>442495</v>
      </c>
      <c r="BX60" s="6">
        <f>+R60-BV60</f>
        <v>40205</v>
      </c>
    </row>
    <row r="61" spans="1:76">
      <c r="A61" s="30"/>
      <c r="B61" s="229" t="s">
        <v>159</v>
      </c>
      <c r="C61"/>
      <c r="D61"/>
      <c r="E61"/>
      <c r="F61"/>
      <c r="G61"/>
      <c r="H61"/>
      <c r="I61"/>
      <c r="J61" s="49" t="s">
        <v>229</v>
      </c>
      <c r="K61"/>
      <c r="L61" s="132"/>
      <c r="M61" s="6"/>
      <c r="O61" s="6"/>
      <c r="Q61" s="6"/>
      <c r="R61" s="231">
        <v>0</v>
      </c>
      <c r="S61" s="6"/>
      <c r="T61" s="6"/>
      <c r="U61" s="6"/>
      <c r="V61" s="6"/>
      <c r="X61" s="6"/>
      <c r="Z61" s="6"/>
      <c r="AB61" s="6"/>
      <c r="AD61" s="6"/>
      <c r="AI61"/>
      <c r="AK61"/>
      <c r="AM61"/>
      <c r="AZ61" s="6">
        <v>20223</v>
      </c>
      <c r="BH61" s="6">
        <f>20421-20223</f>
        <v>198</v>
      </c>
      <c r="BL61" s="6"/>
      <c r="BM61" s="6"/>
      <c r="BN61" s="6"/>
      <c r="BO61" s="6"/>
      <c r="BP61" s="6">
        <f>SUM(T61:BO61)</f>
        <v>20421</v>
      </c>
      <c r="BQ61" s="6"/>
      <c r="BR61" s="6">
        <v>0</v>
      </c>
      <c r="BS61" s="6"/>
      <c r="BT61" s="6">
        <f>IF(+R61-BP61+BR61&gt;0,R61-BP61+BR61,0)</f>
        <v>0</v>
      </c>
      <c r="BV61" s="6">
        <f>+BP61+BT61</f>
        <v>20421</v>
      </c>
      <c r="BX61" s="6">
        <f>+R61-BV61</f>
        <v>-20421</v>
      </c>
    </row>
    <row r="62" spans="1:76">
      <c r="A62" s="30"/>
      <c r="B62" s="229"/>
      <c r="C62"/>
      <c r="D62"/>
      <c r="E62"/>
      <c r="F62"/>
      <c r="G62"/>
      <c r="H62"/>
      <c r="I62"/>
      <c r="J62" s="49"/>
      <c r="K62"/>
      <c r="L62" s="132"/>
      <c r="M62" s="6"/>
      <c r="O62" s="6"/>
      <c r="Q62" s="6"/>
      <c r="R62" s="231"/>
      <c r="S62" s="6"/>
      <c r="T62" s="6"/>
      <c r="U62" s="6"/>
      <c r="V62" s="6"/>
      <c r="X62" s="6"/>
      <c r="Z62" s="6"/>
      <c r="AB62" s="6"/>
      <c r="AD62" s="6"/>
      <c r="AI62"/>
      <c r="AK62"/>
      <c r="AM62"/>
      <c r="BL62" s="6"/>
      <c r="BM62" s="6"/>
      <c r="BN62" s="6"/>
      <c r="BO62" s="6"/>
      <c r="BQ62" s="6"/>
      <c r="BR62" s="6"/>
      <c r="BS62" s="6"/>
    </row>
    <row r="63" spans="1:76" s="21" customFormat="1">
      <c r="A63" s="31"/>
      <c r="B63" s="232" t="s">
        <v>298</v>
      </c>
      <c r="J63" s="8"/>
      <c r="L63" s="141" t="s">
        <v>202</v>
      </c>
      <c r="M63" s="9"/>
      <c r="N63" s="9">
        <v>0</v>
      </c>
      <c r="O63" s="9"/>
      <c r="P63" s="9">
        <v>0</v>
      </c>
      <c r="Q63" s="9"/>
      <c r="R63" s="9">
        <f t="shared" ref="R63:AH63" si="15">SUM(R57:R61)</f>
        <v>5296839</v>
      </c>
      <c r="S63" s="9">
        <f t="shared" si="15"/>
        <v>0</v>
      </c>
      <c r="T63" s="9">
        <f t="shared" si="15"/>
        <v>0</v>
      </c>
      <c r="U63" s="9">
        <f t="shared" si="15"/>
        <v>0</v>
      </c>
      <c r="V63" s="9">
        <f t="shared" si="15"/>
        <v>0</v>
      </c>
      <c r="W63" s="9">
        <f t="shared" si="15"/>
        <v>0</v>
      </c>
      <c r="X63" s="9">
        <f t="shared" si="15"/>
        <v>0</v>
      </c>
      <c r="Y63" s="9">
        <f t="shared" si="15"/>
        <v>0</v>
      </c>
      <c r="Z63" s="9">
        <f t="shared" si="15"/>
        <v>0</v>
      </c>
      <c r="AA63" s="9">
        <f t="shared" si="15"/>
        <v>0</v>
      </c>
      <c r="AB63" s="9">
        <f t="shared" si="15"/>
        <v>0</v>
      </c>
      <c r="AC63" s="9">
        <f t="shared" si="15"/>
        <v>0</v>
      </c>
      <c r="AD63" s="9">
        <f t="shared" si="15"/>
        <v>0</v>
      </c>
      <c r="AE63" s="9">
        <f t="shared" si="15"/>
        <v>0</v>
      </c>
      <c r="AF63" s="9">
        <f t="shared" si="15"/>
        <v>0</v>
      </c>
      <c r="AG63" s="9">
        <f t="shared" si="15"/>
        <v>0</v>
      </c>
      <c r="AH63" s="9">
        <f t="shared" si="15"/>
        <v>0</v>
      </c>
      <c r="AI63" s="9"/>
      <c r="AJ63" s="9">
        <f>SUM(AJ57:AJ61)</f>
        <v>0</v>
      </c>
      <c r="AK63" s="9"/>
      <c r="AL63" s="9">
        <f>SUM(AL57:AL61)</f>
        <v>0</v>
      </c>
      <c r="AM63" s="9"/>
      <c r="AN63" s="9">
        <f>SUM(AN57:AN61)</f>
        <v>0</v>
      </c>
      <c r="AO63" s="9"/>
      <c r="AP63" s="9">
        <f>SUM(AP57:AP61)</f>
        <v>0</v>
      </c>
      <c r="AQ63" s="9"/>
      <c r="AR63" s="9">
        <f t="shared" ref="AR63:BV63" si="16">SUM(AR57:AR61)</f>
        <v>84021</v>
      </c>
      <c r="AS63" s="9">
        <f t="shared" si="16"/>
        <v>0</v>
      </c>
      <c r="AT63" s="9">
        <f t="shared" si="16"/>
        <v>0</v>
      </c>
      <c r="AU63" s="9">
        <f t="shared" si="16"/>
        <v>0</v>
      </c>
      <c r="AV63" s="9">
        <f t="shared" si="16"/>
        <v>225269</v>
      </c>
      <c r="AW63" s="9">
        <f t="shared" si="16"/>
        <v>0</v>
      </c>
      <c r="AX63" s="9">
        <f t="shared" si="16"/>
        <v>0</v>
      </c>
      <c r="AY63" s="9">
        <f t="shared" si="16"/>
        <v>0</v>
      </c>
      <c r="AZ63" s="9">
        <f t="shared" si="16"/>
        <v>3173570</v>
      </c>
      <c r="BA63" s="9">
        <f t="shared" si="16"/>
        <v>0</v>
      </c>
      <c r="BB63" s="9">
        <f t="shared" si="16"/>
        <v>0</v>
      </c>
      <c r="BC63"/>
      <c r="BD63" s="9">
        <f t="shared" si="16"/>
        <v>0</v>
      </c>
      <c r="BE63"/>
      <c r="BF63" s="9">
        <f t="shared" si="16"/>
        <v>0</v>
      </c>
      <c r="BG63" s="9">
        <f t="shared" si="16"/>
        <v>0</v>
      </c>
      <c r="BH63" s="9">
        <f t="shared" si="16"/>
        <v>1119732</v>
      </c>
      <c r="BI63" s="9">
        <f t="shared" si="16"/>
        <v>0</v>
      </c>
      <c r="BJ63" s="9">
        <f t="shared" si="16"/>
        <v>0</v>
      </c>
      <c r="BK63" s="9">
        <f t="shared" si="16"/>
        <v>0</v>
      </c>
      <c r="BL63" s="9">
        <f t="shared" si="16"/>
        <v>0</v>
      </c>
      <c r="BM63" s="9">
        <f>SUM(BM57:BM61)</f>
        <v>0</v>
      </c>
      <c r="BN63" s="9">
        <f>SUM(BN57:BN61)</f>
        <v>0</v>
      </c>
      <c r="BO63" s="9">
        <f t="shared" si="16"/>
        <v>0</v>
      </c>
      <c r="BP63" s="9">
        <f t="shared" si="16"/>
        <v>4602592</v>
      </c>
      <c r="BQ63" s="9">
        <f t="shared" si="16"/>
        <v>0</v>
      </c>
      <c r="BR63" s="9">
        <f t="shared" si="16"/>
        <v>-857930</v>
      </c>
      <c r="BS63" s="9">
        <f t="shared" si="16"/>
        <v>0</v>
      </c>
      <c r="BT63" s="9">
        <f t="shared" si="16"/>
        <v>142497</v>
      </c>
      <c r="BU63" s="9">
        <f t="shared" si="16"/>
        <v>0</v>
      </c>
      <c r="BV63" s="9">
        <f t="shared" si="16"/>
        <v>4745089</v>
      </c>
      <c r="BW63" s="9"/>
      <c r="BX63" s="9">
        <f>+R63-BV63</f>
        <v>551750</v>
      </c>
    </row>
    <row r="64" spans="1:76" s="21" customFormat="1">
      <c r="A64" s="31"/>
      <c r="B64" s="232"/>
      <c r="J64" s="8"/>
      <c r="L64" s="141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J64" s="9"/>
      <c r="AL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  <c r="BA64" s="9"/>
      <c r="BB64" s="9"/>
      <c r="BC64"/>
      <c r="BD64" s="9"/>
      <c r="BE64"/>
      <c r="BF64" s="9"/>
      <c r="BG64" s="9"/>
      <c r="BH64" s="9"/>
      <c r="BI64" s="9"/>
      <c r="BJ64" s="9"/>
      <c r="BK64" s="9"/>
      <c r="BL64" s="9"/>
      <c r="BM64" s="9"/>
      <c r="BN64" s="9"/>
      <c r="BO64" s="9"/>
      <c r="BP64" s="9"/>
      <c r="BQ64" s="9"/>
      <c r="BR64" s="9"/>
      <c r="BS64" s="9"/>
      <c r="BT64" s="9"/>
      <c r="BU64" s="9"/>
      <c r="BV64" s="9"/>
      <c r="BW64" s="9"/>
    </row>
    <row r="65" spans="1:76" s="21" customFormat="1">
      <c r="A65" s="31"/>
      <c r="B65" s="233" t="s">
        <v>310</v>
      </c>
      <c r="J65" s="8"/>
      <c r="L65" s="141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J65" s="9"/>
      <c r="AL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9"/>
      <c r="AZ65" s="9"/>
      <c r="BA65" s="9"/>
      <c r="BB65" s="9"/>
      <c r="BC65"/>
      <c r="BD65" s="9"/>
      <c r="BE65"/>
      <c r="BF65" s="9"/>
      <c r="BG65" s="9"/>
      <c r="BH65" s="9"/>
      <c r="BI65" s="9"/>
      <c r="BJ65" s="9"/>
      <c r="BK65" s="9"/>
      <c r="BL65" s="9"/>
      <c r="BM65" s="9"/>
      <c r="BN65" s="9"/>
      <c r="BO65" s="9"/>
      <c r="BP65" s="9"/>
      <c r="BQ65" s="9"/>
      <c r="BR65" s="9"/>
      <c r="BS65" s="9"/>
      <c r="BT65" s="9"/>
      <c r="BU65" s="9"/>
      <c r="BV65" s="9"/>
      <c r="BW65" s="9"/>
    </row>
    <row r="66" spans="1:76" s="21" customFormat="1">
      <c r="A66" s="31"/>
      <c r="B66" s="234" t="s">
        <v>299</v>
      </c>
      <c r="J66" s="8"/>
      <c r="L66" s="141"/>
      <c r="M66" s="9"/>
      <c r="N66" s="9"/>
      <c r="O66" s="9"/>
      <c r="P66" s="9"/>
      <c r="Q66" s="9"/>
      <c r="R66" s="231">
        <f>1350641+871112</f>
        <v>2221753</v>
      </c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J66" s="9"/>
      <c r="AL66" s="9"/>
      <c r="AN66" s="9"/>
      <c r="AO66" s="9"/>
      <c r="AP66" s="9"/>
      <c r="AQ66" s="9"/>
      <c r="AR66" s="6">
        <v>204588</v>
      </c>
      <c r="AS66" s="9"/>
      <c r="AT66" s="9"/>
      <c r="AU66" s="9"/>
      <c r="AV66" s="6">
        <f>2389052-204588</f>
        <v>2184464</v>
      </c>
      <c r="AW66" s="9"/>
      <c r="AX66" s="9"/>
      <c r="AY66" s="9"/>
      <c r="AZ66" s="6">
        <f>2924606+28224-2389052</f>
        <v>563778</v>
      </c>
      <c r="BA66" s="9"/>
      <c r="BB66" s="9"/>
      <c r="BC66"/>
      <c r="BD66" s="9"/>
      <c r="BE66"/>
      <c r="BF66" s="9"/>
      <c r="BG66" s="9"/>
      <c r="BH66" s="9">
        <f>3055302-2952830+272495+20694-249699</f>
        <v>145962</v>
      </c>
      <c r="BI66" s="9"/>
      <c r="BJ66" s="9"/>
      <c r="BK66" s="9"/>
      <c r="BL66" s="9"/>
      <c r="BM66" s="9"/>
      <c r="BN66" s="9"/>
      <c r="BO66" s="9"/>
      <c r="BP66" s="6">
        <f t="shared" ref="BP66:BP84" si="17">SUM(T66:BO66)</f>
        <v>3098792</v>
      </c>
      <c r="BQ66" s="9"/>
      <c r="BR66" s="6">
        <v>0</v>
      </c>
      <c r="BS66" s="6"/>
      <c r="BT66" s="6">
        <f t="shared" ref="BT66:BT85" si="18">IF(+R66-BP66+BR66&gt;0,R66-BP66+BR66,0)</f>
        <v>0</v>
      </c>
      <c r="BU66" s="6"/>
      <c r="BV66" s="6">
        <f t="shared" ref="BV66:BV85" si="19">+BP66+BT66</f>
        <v>3098792</v>
      </c>
      <c r="BW66" s="9"/>
      <c r="BX66" s="6">
        <f t="shared" ref="BX66:BX84" si="20">+R66-BV66</f>
        <v>-877039</v>
      </c>
    </row>
    <row r="67" spans="1:76" s="21" customFormat="1">
      <c r="A67" s="31"/>
      <c r="B67" s="234" t="s">
        <v>387</v>
      </c>
      <c r="J67" s="8"/>
      <c r="L67" s="141"/>
      <c r="M67" s="9"/>
      <c r="N67" s="9"/>
      <c r="O67" s="9"/>
      <c r="P67" s="9"/>
      <c r="Q67" s="9"/>
      <c r="R67" s="231">
        <v>363307</v>
      </c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J67" s="9"/>
      <c r="AL67" s="9"/>
      <c r="AN67" s="9"/>
      <c r="AO67" s="9"/>
      <c r="AP67" s="9"/>
      <c r="AQ67" s="9"/>
      <c r="AR67" s="9"/>
      <c r="AS67" s="9"/>
      <c r="AT67" s="9"/>
      <c r="AU67" s="9"/>
      <c r="AV67" s="6">
        <f>13499</f>
        <v>13499</v>
      </c>
      <c r="AW67" s="9"/>
      <c r="AX67" s="9"/>
      <c r="AY67" s="9"/>
      <c r="AZ67" s="6">
        <f>735944-13499</f>
        <v>722445</v>
      </c>
      <c r="BA67" s="9"/>
      <c r="BB67" s="9"/>
      <c r="BC67"/>
      <c r="BD67" s="9"/>
      <c r="BE67"/>
      <c r="BF67" s="9"/>
      <c r="BG67" s="9"/>
      <c r="BH67" s="9">
        <f>1007521-735944</f>
        <v>271577</v>
      </c>
      <c r="BI67" s="9"/>
      <c r="BJ67" s="9"/>
      <c r="BK67" s="9"/>
      <c r="BL67" s="9"/>
      <c r="BM67" s="9"/>
      <c r="BN67" s="9"/>
      <c r="BO67" s="9"/>
      <c r="BP67" s="6">
        <f t="shared" si="17"/>
        <v>1007521</v>
      </c>
      <c r="BQ67" s="9"/>
      <c r="BR67" s="6">
        <f>508478-363263</f>
        <v>145215</v>
      </c>
      <c r="BS67" s="6"/>
      <c r="BT67" s="6">
        <f t="shared" si="18"/>
        <v>0</v>
      </c>
      <c r="BU67" s="6"/>
      <c r="BV67" s="6">
        <f t="shared" si="19"/>
        <v>1007521</v>
      </c>
      <c r="BW67" s="9"/>
      <c r="BX67" s="6">
        <f t="shared" si="20"/>
        <v>-644214</v>
      </c>
    </row>
    <row r="68" spans="1:76" s="21" customFormat="1">
      <c r="A68" s="31"/>
      <c r="B68" s="234" t="s">
        <v>300</v>
      </c>
      <c r="J68" s="8"/>
      <c r="L68" s="141"/>
      <c r="M68" s="9"/>
      <c r="N68" s="9"/>
      <c r="O68" s="9"/>
      <c r="P68" s="9"/>
      <c r="Q68" s="9"/>
      <c r="R68" s="231">
        <v>272375</v>
      </c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J68" s="9"/>
      <c r="AL68" s="9"/>
      <c r="AN68" s="9"/>
      <c r="AO68" s="9"/>
      <c r="AP68" s="9"/>
      <c r="AQ68" s="9"/>
      <c r="AR68" s="9"/>
      <c r="AS68" s="9"/>
      <c r="AT68" s="9"/>
      <c r="AU68" s="9"/>
      <c r="AV68" s="6">
        <v>122734</v>
      </c>
      <c r="AW68" s="9"/>
      <c r="AX68" s="9"/>
      <c r="AY68" s="9"/>
      <c r="AZ68" s="6">
        <f>198522-122734</f>
        <v>75788</v>
      </c>
      <c r="BA68" s="9"/>
      <c r="BB68" s="9"/>
      <c r="BC68"/>
      <c r="BD68" s="9"/>
      <c r="BE68"/>
      <c r="BF68" s="9"/>
      <c r="BG68" s="9"/>
      <c r="BH68" s="9">
        <f>230143-198522</f>
        <v>31621</v>
      </c>
      <c r="BI68" s="9"/>
      <c r="BJ68" s="9"/>
      <c r="BK68" s="9"/>
      <c r="BL68" s="9"/>
      <c r="BM68" s="9"/>
      <c r="BN68" s="9"/>
      <c r="BO68" s="9"/>
      <c r="BP68" s="6">
        <f t="shared" si="17"/>
        <v>230143</v>
      </c>
      <c r="BQ68" s="9"/>
      <c r="BR68" s="6"/>
      <c r="BS68" s="6"/>
      <c r="BT68" s="6">
        <f t="shared" si="18"/>
        <v>42232</v>
      </c>
      <c r="BU68" s="6"/>
      <c r="BV68" s="6">
        <f t="shared" si="19"/>
        <v>272375</v>
      </c>
      <c r="BW68" s="9"/>
      <c r="BX68" s="6">
        <f t="shared" si="20"/>
        <v>0</v>
      </c>
    </row>
    <row r="69" spans="1:76" s="21" customFormat="1">
      <c r="A69" s="31"/>
      <c r="B69" s="234" t="s">
        <v>388</v>
      </c>
      <c r="J69" s="8"/>
      <c r="L69" s="141"/>
      <c r="M69" s="9"/>
      <c r="N69" s="9"/>
      <c r="O69" s="9"/>
      <c r="P69" s="9"/>
      <c r="Q69" s="9"/>
      <c r="R69" s="231">
        <v>294546</v>
      </c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J69" s="9"/>
      <c r="AL69" s="9"/>
      <c r="AN69" s="9"/>
      <c r="AO69" s="9"/>
      <c r="AP69" s="9"/>
      <c r="AQ69" s="9"/>
      <c r="AR69" s="9"/>
      <c r="AS69" s="9"/>
      <c r="AT69" s="9"/>
      <c r="AU69" s="9"/>
      <c r="AV69" s="6"/>
      <c r="AW69" s="9"/>
      <c r="AX69" s="9"/>
      <c r="AY69" s="9"/>
      <c r="AZ69" s="6">
        <v>555814</v>
      </c>
      <c r="BA69" s="9"/>
      <c r="BB69" s="9"/>
      <c r="BC69"/>
      <c r="BD69" s="9"/>
      <c r="BE69"/>
      <c r="BF69" s="9"/>
      <c r="BG69" s="9"/>
      <c r="BH69" s="9">
        <f>599775-555814</f>
        <v>43961</v>
      </c>
      <c r="BI69" s="9"/>
      <c r="BJ69" s="9"/>
      <c r="BK69" s="9"/>
      <c r="BL69" s="9"/>
      <c r="BM69" s="9"/>
      <c r="BN69" s="9"/>
      <c r="BO69" s="9"/>
      <c r="BP69" s="6">
        <f t="shared" si="17"/>
        <v>599775</v>
      </c>
      <c r="BQ69" s="9"/>
      <c r="BR69" s="6">
        <f>374050-294546</f>
        <v>79504</v>
      </c>
      <c r="BS69" s="6"/>
      <c r="BT69" s="6">
        <f t="shared" si="18"/>
        <v>0</v>
      </c>
      <c r="BU69" s="6"/>
      <c r="BV69" s="6">
        <f t="shared" si="19"/>
        <v>599775</v>
      </c>
      <c r="BW69" s="9"/>
      <c r="BX69" s="6">
        <f t="shared" si="20"/>
        <v>-305229</v>
      </c>
    </row>
    <row r="70" spans="1:76" s="21" customFormat="1">
      <c r="A70" s="31"/>
      <c r="B70" s="234" t="s">
        <v>301</v>
      </c>
      <c r="J70" s="8"/>
      <c r="L70" s="141"/>
      <c r="M70" s="9"/>
      <c r="N70" s="9"/>
      <c r="O70" s="9"/>
      <c r="P70" s="9"/>
      <c r="Q70" s="9"/>
      <c r="R70" s="231">
        <v>172231</v>
      </c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J70" s="9"/>
      <c r="AL70" s="9"/>
      <c r="AN70" s="9"/>
      <c r="AO70" s="9"/>
      <c r="AP70" s="9"/>
      <c r="AQ70" s="9"/>
      <c r="AR70" s="9"/>
      <c r="AS70" s="9"/>
      <c r="AT70" s="9"/>
      <c r="AU70" s="9"/>
      <c r="AV70" s="6">
        <v>116875</v>
      </c>
      <c r="AW70" s="9"/>
      <c r="AX70" s="9"/>
      <c r="AY70" s="9"/>
      <c r="AZ70" s="6">
        <f>259344-116875</f>
        <v>142469</v>
      </c>
      <c r="BA70" s="9"/>
      <c r="BB70" s="9"/>
      <c r="BC70"/>
      <c r="BD70" s="9"/>
      <c r="BE70"/>
      <c r="BF70" s="9"/>
      <c r="BG70" s="9"/>
      <c r="BH70" s="9">
        <f>266441-259344</f>
        <v>7097</v>
      </c>
      <c r="BI70" s="9"/>
      <c r="BJ70" s="9"/>
      <c r="BK70" s="9"/>
      <c r="BL70" s="9"/>
      <c r="BM70" s="9"/>
      <c r="BN70" s="9"/>
      <c r="BO70" s="9"/>
      <c r="BP70" s="6">
        <f t="shared" si="17"/>
        <v>266441</v>
      </c>
      <c r="BQ70" s="9"/>
      <c r="BR70" s="6">
        <v>0</v>
      </c>
      <c r="BS70" s="6"/>
      <c r="BT70" s="6">
        <f t="shared" si="18"/>
        <v>0</v>
      </c>
      <c r="BU70" s="6"/>
      <c r="BV70" s="6">
        <f t="shared" si="19"/>
        <v>266441</v>
      </c>
      <c r="BW70" s="9"/>
      <c r="BX70" s="6">
        <f t="shared" si="20"/>
        <v>-94210</v>
      </c>
    </row>
    <row r="71" spans="1:76" s="21" customFormat="1">
      <c r="A71" s="31"/>
      <c r="B71" s="234" t="s">
        <v>394</v>
      </c>
      <c r="J71" s="8"/>
      <c r="L71" s="141"/>
      <c r="M71" s="9"/>
      <c r="N71" s="9"/>
      <c r="O71" s="9"/>
      <c r="P71" s="9"/>
      <c r="Q71" s="9"/>
      <c r="R71" s="231">
        <v>1115136</v>
      </c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J71" s="9"/>
      <c r="AL71" s="9"/>
      <c r="AN71" s="9"/>
      <c r="AO71" s="9"/>
      <c r="AP71" s="9"/>
      <c r="AQ71" s="9"/>
      <c r="AR71" s="9"/>
      <c r="AS71" s="9"/>
      <c r="AT71" s="9"/>
      <c r="AU71" s="9"/>
      <c r="AV71" s="6">
        <f>29294+12922</f>
        <v>42216</v>
      </c>
      <c r="AW71" s="9"/>
      <c r="AX71" s="9"/>
      <c r="AY71" s="9"/>
      <c r="AZ71" s="6">
        <f>1404467-42216</f>
        <v>1362251</v>
      </c>
      <c r="BA71" s="9"/>
      <c r="BB71" s="9"/>
      <c r="BC71"/>
      <c r="BD71" s="9"/>
      <c r="BE71"/>
      <c r="BF71" s="9"/>
      <c r="BG71" s="9"/>
      <c r="BH71" s="9">
        <f>1843466-1404467</f>
        <v>438999</v>
      </c>
      <c r="BI71" s="9"/>
      <c r="BJ71" s="9"/>
      <c r="BK71" s="9"/>
      <c r="BL71" s="9"/>
      <c r="BM71" s="9"/>
      <c r="BN71" s="9"/>
      <c r="BO71" s="9"/>
      <c r="BP71" s="6">
        <f t="shared" si="17"/>
        <v>1843466</v>
      </c>
      <c r="BQ71" s="9"/>
      <c r="BR71" s="6">
        <f>1569522-1115136</f>
        <v>454386</v>
      </c>
      <c r="BS71" s="6"/>
      <c r="BT71" s="6">
        <f t="shared" si="18"/>
        <v>0</v>
      </c>
      <c r="BU71" s="6"/>
      <c r="BV71" s="6">
        <f t="shared" si="19"/>
        <v>1843466</v>
      </c>
      <c r="BW71" s="9"/>
      <c r="BX71" s="6">
        <f t="shared" si="20"/>
        <v>-728330</v>
      </c>
    </row>
    <row r="72" spans="1:76" s="21" customFormat="1">
      <c r="A72" s="31"/>
      <c r="B72" s="234" t="s">
        <v>302</v>
      </c>
      <c r="J72" s="8"/>
      <c r="L72" s="141"/>
      <c r="M72" s="9"/>
      <c r="N72" s="9"/>
      <c r="O72" s="9"/>
      <c r="P72" s="9"/>
      <c r="Q72" s="9"/>
      <c r="R72" s="231">
        <v>751110</v>
      </c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J72" s="9"/>
      <c r="AL72" s="9"/>
      <c r="AN72" s="9"/>
      <c r="AO72" s="9"/>
      <c r="AP72" s="9"/>
      <c r="AQ72" s="9"/>
      <c r="AR72" s="9"/>
      <c r="AS72" s="9"/>
      <c r="AT72" s="9"/>
      <c r="AU72" s="9"/>
      <c r="AV72" s="6">
        <v>286589</v>
      </c>
      <c r="AW72" s="9"/>
      <c r="AX72" s="9"/>
      <c r="AY72" s="9"/>
      <c r="AZ72" s="6">
        <f>577419-286589</f>
        <v>290830</v>
      </c>
      <c r="BA72" s="9"/>
      <c r="BB72" s="9"/>
      <c r="BC72"/>
      <c r="BD72" s="9"/>
      <c r="BE72"/>
      <c r="BF72" s="9"/>
      <c r="BG72" s="9"/>
      <c r="BH72" s="9">
        <f>645350-577419</f>
        <v>67931</v>
      </c>
      <c r="BI72" s="9"/>
      <c r="BJ72" s="9"/>
      <c r="BK72" s="9"/>
      <c r="BL72" s="9"/>
      <c r="BM72" s="9"/>
      <c r="BN72" s="9"/>
      <c r="BO72" s="9"/>
      <c r="BP72" s="6">
        <f t="shared" si="17"/>
        <v>645350</v>
      </c>
      <c r="BQ72" s="9"/>
      <c r="BR72" s="6"/>
      <c r="BS72" s="6"/>
      <c r="BT72" s="6">
        <f t="shared" si="18"/>
        <v>105760</v>
      </c>
      <c r="BU72" s="6"/>
      <c r="BV72" s="6">
        <f t="shared" si="19"/>
        <v>751110</v>
      </c>
      <c r="BW72" s="9"/>
      <c r="BX72" s="6">
        <f t="shared" si="20"/>
        <v>0</v>
      </c>
    </row>
    <row r="73" spans="1:76" s="21" customFormat="1">
      <c r="A73" s="31"/>
      <c r="B73" s="234" t="s">
        <v>389</v>
      </c>
      <c r="J73" s="8"/>
      <c r="L73" s="141"/>
      <c r="M73" s="9"/>
      <c r="N73" s="9"/>
      <c r="O73" s="9"/>
      <c r="P73" s="9"/>
      <c r="Q73" s="9"/>
      <c r="R73" s="231">
        <v>79049</v>
      </c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J73" s="9"/>
      <c r="AL73" s="9"/>
      <c r="AN73" s="9"/>
      <c r="AO73" s="9"/>
      <c r="AP73" s="9"/>
      <c r="AQ73" s="9"/>
      <c r="AR73" s="9"/>
      <c r="AS73" s="9"/>
      <c r="AT73" s="9"/>
      <c r="AU73" s="9"/>
      <c r="AV73" s="6">
        <v>0</v>
      </c>
      <c r="AW73" s="9"/>
      <c r="AX73" s="9"/>
      <c r="AY73" s="9"/>
      <c r="AZ73" s="6">
        <v>22214</v>
      </c>
      <c r="BA73" s="9"/>
      <c r="BB73" s="9"/>
      <c r="BC73"/>
      <c r="BD73" s="9"/>
      <c r="BE73"/>
      <c r="BF73" s="9"/>
      <c r="BG73" s="9"/>
      <c r="BH73" s="9">
        <f>97281-22214</f>
        <v>75067</v>
      </c>
      <c r="BI73" s="9"/>
      <c r="BJ73" s="9"/>
      <c r="BK73" s="9"/>
      <c r="BL73" s="9"/>
      <c r="BM73" s="9"/>
      <c r="BN73" s="9"/>
      <c r="BO73" s="9"/>
      <c r="BP73" s="6">
        <f t="shared" si="17"/>
        <v>97281</v>
      </c>
      <c r="BQ73" s="9"/>
      <c r="BR73" s="6">
        <f>108008-79049</f>
        <v>28959</v>
      </c>
      <c r="BS73" s="6"/>
      <c r="BT73" s="6">
        <f t="shared" si="18"/>
        <v>10727</v>
      </c>
      <c r="BU73" s="6"/>
      <c r="BV73" s="6">
        <f t="shared" si="19"/>
        <v>108008</v>
      </c>
      <c r="BW73" s="9"/>
      <c r="BX73" s="6">
        <f t="shared" si="20"/>
        <v>-28959</v>
      </c>
    </row>
    <row r="74" spans="1:76" s="21" customFormat="1">
      <c r="A74" s="31"/>
      <c r="B74" s="234" t="s">
        <v>393</v>
      </c>
      <c r="J74" s="8"/>
      <c r="L74" s="141"/>
      <c r="M74" s="9"/>
      <c r="N74" s="9"/>
      <c r="O74" s="9"/>
      <c r="P74" s="9"/>
      <c r="Q74" s="9"/>
      <c r="R74" s="231">
        <v>43500</v>
      </c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J74" s="9"/>
      <c r="AL74" s="9"/>
      <c r="AN74" s="9"/>
      <c r="AO74" s="9"/>
      <c r="AP74" s="9"/>
      <c r="AQ74" s="9"/>
      <c r="AR74" s="9"/>
      <c r="AS74" s="9"/>
      <c r="AT74" s="9"/>
      <c r="AU74" s="9"/>
      <c r="AV74" s="6">
        <v>11125</v>
      </c>
      <c r="AW74" s="9"/>
      <c r="AX74" s="9"/>
      <c r="AY74" s="9"/>
      <c r="AZ74" s="6">
        <f>15847-11125</f>
        <v>4722</v>
      </c>
      <c r="BA74" s="9"/>
      <c r="BB74" s="9"/>
      <c r="BC74"/>
      <c r="BD74" s="9"/>
      <c r="BE74"/>
      <c r="BF74" s="9"/>
      <c r="BG74" s="9"/>
      <c r="BH74" s="9">
        <f>27594-15847</f>
        <v>11747</v>
      </c>
      <c r="BI74" s="9"/>
      <c r="BJ74" s="9"/>
      <c r="BK74" s="9"/>
      <c r="BL74" s="9"/>
      <c r="BM74" s="9"/>
      <c r="BN74" s="9"/>
      <c r="BO74" s="9"/>
      <c r="BP74" s="6">
        <f t="shared" si="17"/>
        <v>27594</v>
      </c>
      <c r="BQ74" s="9"/>
      <c r="BR74" s="6"/>
      <c r="BS74" s="6"/>
      <c r="BT74" s="6">
        <f t="shared" si="18"/>
        <v>15906</v>
      </c>
      <c r="BU74" s="6"/>
      <c r="BV74" s="6">
        <f t="shared" si="19"/>
        <v>43500</v>
      </c>
      <c r="BW74" s="9"/>
      <c r="BX74" s="6">
        <f t="shared" si="20"/>
        <v>0</v>
      </c>
    </row>
    <row r="75" spans="1:76" s="21" customFormat="1">
      <c r="A75" s="31"/>
      <c r="B75" s="234" t="s">
        <v>401</v>
      </c>
      <c r="J75" s="8"/>
      <c r="L75" s="141"/>
      <c r="M75" s="9"/>
      <c r="N75" s="9"/>
      <c r="O75" s="9"/>
      <c r="P75" s="9"/>
      <c r="Q75" s="9"/>
      <c r="R75" s="231">
        <v>81956</v>
      </c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J75" s="9"/>
      <c r="AL75" s="9"/>
      <c r="AN75" s="9"/>
      <c r="AO75" s="9"/>
      <c r="AP75" s="9"/>
      <c r="AQ75" s="9"/>
      <c r="AR75" s="9"/>
      <c r="AS75" s="9"/>
      <c r="AT75" s="9"/>
      <c r="AU75" s="9"/>
      <c r="AV75" s="6">
        <v>1183</v>
      </c>
      <c r="AW75" s="9"/>
      <c r="AX75" s="9"/>
      <c r="AY75" s="9"/>
      <c r="AZ75" s="6">
        <f>29878-1183</f>
        <v>28695</v>
      </c>
      <c r="BA75" s="9"/>
      <c r="BB75" s="9"/>
      <c r="BC75"/>
      <c r="BD75" s="9"/>
      <c r="BE75"/>
      <c r="BF75" s="9"/>
      <c r="BG75" s="9"/>
      <c r="BH75" s="9">
        <f>141341-29878</f>
        <v>111463</v>
      </c>
      <c r="BI75" s="9"/>
      <c r="BJ75" s="9"/>
      <c r="BK75" s="9"/>
      <c r="BL75" s="9"/>
      <c r="BM75" s="9"/>
      <c r="BN75" s="9"/>
      <c r="BO75" s="9"/>
      <c r="BP75" s="6">
        <f t="shared" si="17"/>
        <v>141341</v>
      </c>
      <c r="BQ75" s="9"/>
      <c r="BR75" s="6">
        <f>101800-81956</f>
        <v>19844</v>
      </c>
      <c r="BS75" s="6"/>
      <c r="BT75" s="6">
        <f t="shared" si="18"/>
        <v>0</v>
      </c>
      <c r="BU75" s="6"/>
      <c r="BV75" s="6">
        <f t="shared" si="19"/>
        <v>141341</v>
      </c>
      <c r="BW75" s="9"/>
      <c r="BX75" s="6">
        <f t="shared" si="20"/>
        <v>-59385</v>
      </c>
    </row>
    <row r="76" spans="1:76" s="21" customFormat="1">
      <c r="A76" s="31"/>
      <c r="B76" s="234" t="s">
        <v>304</v>
      </c>
      <c r="J76" s="8"/>
      <c r="L76" s="141"/>
      <c r="M76" s="9"/>
      <c r="N76" s="9"/>
      <c r="O76" s="9"/>
      <c r="P76" s="9"/>
      <c r="Q76" s="9"/>
      <c r="R76" s="231">
        <v>217350</v>
      </c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J76" s="9"/>
      <c r="AL76" s="9"/>
      <c r="AN76" s="9"/>
      <c r="AO76" s="9"/>
      <c r="AP76" s="9"/>
      <c r="AQ76" s="9"/>
      <c r="AR76" s="9"/>
      <c r="AS76" s="9"/>
      <c r="AT76" s="9"/>
      <c r="AU76" s="9"/>
      <c r="AV76" s="6"/>
      <c r="AW76" s="9"/>
      <c r="AX76" s="9"/>
      <c r="AY76" s="9"/>
      <c r="AZ76" s="6"/>
      <c r="BA76" s="9"/>
      <c r="BB76" s="9"/>
      <c r="BC76"/>
      <c r="BD76" s="9"/>
      <c r="BE76"/>
      <c r="BF76" s="9"/>
      <c r="BG76" s="9"/>
      <c r="BH76" s="9">
        <v>3351</v>
      </c>
      <c r="BI76" s="9"/>
      <c r="BJ76" s="9"/>
      <c r="BK76" s="9"/>
      <c r="BL76" s="9"/>
      <c r="BM76" s="9"/>
      <c r="BN76" s="9"/>
      <c r="BO76" s="9"/>
      <c r="BP76" s="6">
        <f t="shared" si="17"/>
        <v>3351</v>
      </c>
      <c r="BQ76" s="9"/>
      <c r="BR76" s="6"/>
      <c r="BS76" s="6"/>
      <c r="BT76" s="6">
        <f t="shared" si="18"/>
        <v>213999</v>
      </c>
      <c r="BU76" s="6"/>
      <c r="BV76" s="6">
        <f t="shared" si="19"/>
        <v>217350</v>
      </c>
      <c r="BW76" s="9"/>
      <c r="BX76" s="6">
        <f t="shared" si="20"/>
        <v>0</v>
      </c>
    </row>
    <row r="77" spans="1:76" s="21" customFormat="1">
      <c r="A77" s="31"/>
      <c r="B77" s="234" t="s">
        <v>305</v>
      </c>
      <c r="J77" s="8"/>
      <c r="L77" s="141"/>
      <c r="M77" s="9"/>
      <c r="N77" s="9"/>
      <c r="O77" s="9"/>
      <c r="P77" s="9"/>
      <c r="Q77" s="9"/>
      <c r="R77" s="231">
        <v>199748</v>
      </c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J77" s="9"/>
      <c r="AL77" s="9"/>
      <c r="AN77" s="9"/>
      <c r="AO77" s="9"/>
      <c r="AP77" s="9"/>
      <c r="AQ77" s="9"/>
      <c r="AR77" s="9"/>
      <c r="AS77" s="9"/>
      <c r="AT77" s="9"/>
      <c r="AU77" s="9"/>
      <c r="AV77" s="6">
        <v>0</v>
      </c>
      <c r="AW77" s="9"/>
      <c r="AX77" s="9"/>
      <c r="AY77" s="9"/>
      <c r="AZ77" s="6">
        <v>9122</v>
      </c>
      <c r="BA77" s="9"/>
      <c r="BB77" s="9"/>
      <c r="BC77"/>
      <c r="BD77" s="9"/>
      <c r="BE77"/>
      <c r="BF77" s="9"/>
      <c r="BG77" s="9"/>
      <c r="BH77" s="9">
        <f>658070-9122</f>
        <v>648948</v>
      </c>
      <c r="BI77" s="9"/>
      <c r="BJ77" s="9"/>
      <c r="BK77" s="9"/>
      <c r="BL77" s="9"/>
      <c r="BM77" s="9"/>
      <c r="BN77" s="9"/>
      <c r="BO77" s="9"/>
      <c r="BP77" s="6">
        <f t="shared" si="17"/>
        <v>658070</v>
      </c>
      <c r="BQ77" s="9"/>
      <c r="BR77" s="6">
        <f>200656-199748</f>
        <v>908</v>
      </c>
      <c r="BS77" s="6"/>
      <c r="BT77" s="6">
        <f t="shared" si="18"/>
        <v>0</v>
      </c>
      <c r="BU77" s="6"/>
      <c r="BV77" s="6">
        <f t="shared" si="19"/>
        <v>658070</v>
      </c>
      <c r="BW77" s="9"/>
      <c r="BX77" s="6">
        <f t="shared" si="20"/>
        <v>-458322</v>
      </c>
    </row>
    <row r="78" spans="1:76" s="21" customFormat="1">
      <c r="A78" s="31"/>
      <c r="B78" s="234" t="s">
        <v>306</v>
      </c>
      <c r="J78" s="8"/>
      <c r="L78" s="141"/>
      <c r="M78" s="9"/>
      <c r="N78" s="9"/>
      <c r="O78" s="9"/>
      <c r="P78" s="9"/>
      <c r="Q78" s="9"/>
      <c r="R78" s="231">
        <v>390000</v>
      </c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J78" s="9"/>
      <c r="AL78" s="9"/>
      <c r="AN78" s="9"/>
      <c r="AO78" s="9"/>
      <c r="AP78" s="9"/>
      <c r="AQ78" s="9"/>
      <c r="AR78" s="9"/>
      <c r="AS78" s="9"/>
      <c r="AT78" s="9"/>
      <c r="AU78" s="9"/>
      <c r="AV78" s="6">
        <v>11300</v>
      </c>
      <c r="AW78" s="9"/>
      <c r="AX78" s="9"/>
      <c r="AY78" s="9"/>
      <c r="AZ78" s="6">
        <f>184450-11300</f>
        <v>173150</v>
      </c>
      <c r="BA78" s="9"/>
      <c r="BB78" s="9"/>
      <c r="BC78"/>
      <c r="BD78" s="9"/>
      <c r="BE78"/>
      <c r="BF78" s="9"/>
      <c r="BG78" s="9"/>
      <c r="BH78" s="9">
        <f>202295-184450</f>
        <v>17845</v>
      </c>
      <c r="BI78" s="9"/>
      <c r="BJ78" s="9"/>
      <c r="BK78" s="9"/>
      <c r="BL78" s="9"/>
      <c r="BM78" s="9"/>
      <c r="BN78" s="9"/>
      <c r="BO78" s="9"/>
      <c r="BP78" s="6">
        <f t="shared" si="17"/>
        <v>202295</v>
      </c>
      <c r="BQ78" s="9"/>
      <c r="BR78" s="6"/>
      <c r="BS78" s="6"/>
      <c r="BT78" s="6">
        <f t="shared" si="18"/>
        <v>187705</v>
      </c>
      <c r="BU78" s="6"/>
      <c r="BV78" s="6">
        <f t="shared" si="19"/>
        <v>390000</v>
      </c>
      <c r="BW78" s="9"/>
      <c r="BX78" s="6">
        <f t="shared" si="20"/>
        <v>0</v>
      </c>
    </row>
    <row r="79" spans="1:76" s="21" customFormat="1">
      <c r="A79" s="31"/>
      <c r="B79" s="234" t="s">
        <v>391</v>
      </c>
      <c r="J79" s="8"/>
      <c r="L79" s="141"/>
      <c r="M79" s="9"/>
      <c r="N79" s="9"/>
      <c r="O79" s="9"/>
      <c r="P79" s="9"/>
      <c r="Q79" s="9"/>
      <c r="R79" s="231">
        <v>290544</v>
      </c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J79" s="9"/>
      <c r="AL79" s="9"/>
      <c r="AN79" s="9"/>
      <c r="AO79" s="9"/>
      <c r="AP79" s="9"/>
      <c r="AQ79" s="9"/>
      <c r="AR79" s="9"/>
      <c r="AS79" s="9"/>
      <c r="AT79" s="9"/>
      <c r="AU79" s="9"/>
      <c r="AV79" s="6">
        <v>958</v>
      </c>
      <c r="AW79" s="9"/>
      <c r="AX79" s="9"/>
      <c r="AY79" s="9"/>
      <c r="AZ79" s="6">
        <f>21684-958</f>
        <v>20726</v>
      </c>
      <c r="BA79" s="9"/>
      <c r="BB79" s="9"/>
      <c r="BC79"/>
      <c r="BD79" s="9"/>
      <c r="BE79"/>
      <c r="BF79" s="9"/>
      <c r="BG79" s="9"/>
      <c r="BH79" s="9">
        <f>267349-21684</f>
        <v>245665</v>
      </c>
      <c r="BI79" s="9"/>
      <c r="BJ79" s="9"/>
      <c r="BK79" s="9"/>
      <c r="BL79" s="9"/>
      <c r="BM79" s="9"/>
      <c r="BN79" s="9"/>
      <c r="BO79" s="9"/>
      <c r="BP79" s="6">
        <f t="shared" si="17"/>
        <v>267349</v>
      </c>
      <c r="BQ79" s="9"/>
      <c r="BR79" s="6">
        <f>369817-290544</f>
        <v>79273</v>
      </c>
      <c r="BS79" s="6"/>
      <c r="BT79" s="6">
        <f t="shared" si="18"/>
        <v>102468</v>
      </c>
      <c r="BU79" s="6"/>
      <c r="BV79" s="6">
        <f t="shared" si="19"/>
        <v>369817</v>
      </c>
      <c r="BW79" s="9"/>
      <c r="BX79" s="6">
        <f t="shared" si="20"/>
        <v>-79273</v>
      </c>
    </row>
    <row r="80" spans="1:76" s="21" customFormat="1">
      <c r="A80" s="31"/>
      <c r="B80" s="234" t="s">
        <v>392</v>
      </c>
      <c r="J80" s="8"/>
      <c r="L80" s="141"/>
      <c r="M80" s="9"/>
      <c r="N80" s="9"/>
      <c r="O80" s="9"/>
      <c r="P80" s="9"/>
      <c r="Q80" s="9"/>
      <c r="R80" s="231">
        <v>1025638</v>
      </c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J80" s="9"/>
      <c r="AL80" s="9"/>
      <c r="AN80" s="9"/>
      <c r="AO80" s="9"/>
      <c r="AP80" s="9"/>
      <c r="AQ80" s="9"/>
      <c r="AR80" s="9"/>
      <c r="AS80" s="9"/>
      <c r="AT80" s="9"/>
      <c r="AU80" s="9"/>
      <c r="AV80" s="6"/>
      <c r="AW80" s="9"/>
      <c r="AX80" s="9"/>
      <c r="AY80" s="9"/>
      <c r="AZ80" s="6">
        <v>148038</v>
      </c>
      <c r="BA80" s="9"/>
      <c r="BB80" s="9"/>
      <c r="BC80"/>
      <c r="BD80" s="9"/>
      <c r="BE80"/>
      <c r="BF80" s="9"/>
      <c r="BG80" s="9"/>
      <c r="BH80" s="9">
        <f>2254200-148038</f>
        <v>2106162</v>
      </c>
      <c r="BI80" s="9"/>
      <c r="BJ80" s="9"/>
      <c r="BK80" s="9"/>
      <c r="BL80" s="9"/>
      <c r="BM80" s="9"/>
      <c r="BN80" s="9"/>
      <c r="BO80" s="9"/>
      <c r="BP80" s="6">
        <f t="shared" si="17"/>
        <v>2254200</v>
      </c>
      <c r="BQ80" s="9"/>
      <c r="BR80" s="6">
        <f>1887865-1025638</f>
        <v>862227</v>
      </c>
      <c r="BS80" s="6"/>
      <c r="BT80" s="6">
        <f t="shared" si="18"/>
        <v>0</v>
      </c>
      <c r="BU80" s="6"/>
      <c r="BV80" s="6">
        <f t="shared" si="19"/>
        <v>2254200</v>
      </c>
      <c r="BW80" s="9"/>
      <c r="BX80" s="6">
        <f t="shared" si="20"/>
        <v>-1228562</v>
      </c>
    </row>
    <row r="81" spans="1:76" s="21" customFormat="1">
      <c r="A81" s="31"/>
      <c r="B81" s="234" t="s">
        <v>397</v>
      </c>
      <c r="J81" s="8"/>
      <c r="L81" s="141"/>
      <c r="M81" s="9"/>
      <c r="N81" s="9"/>
      <c r="O81" s="9"/>
      <c r="P81" s="9"/>
      <c r="Q81" s="9"/>
      <c r="R81" s="231">
        <v>347524</v>
      </c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J81" s="9"/>
      <c r="AL81" s="9"/>
      <c r="AN81" s="9"/>
      <c r="AO81" s="9"/>
      <c r="AP81" s="9"/>
      <c r="AQ81" s="9"/>
      <c r="AR81" s="9"/>
      <c r="AS81" s="9"/>
      <c r="AT81" s="9"/>
      <c r="AU81" s="9"/>
      <c r="AV81" s="6"/>
      <c r="AW81" s="9"/>
      <c r="AX81" s="9"/>
      <c r="AY81" s="9"/>
      <c r="AZ81" s="6"/>
      <c r="BA81" s="9"/>
      <c r="BB81" s="9"/>
      <c r="BC81"/>
      <c r="BD81" s="9"/>
      <c r="BE81"/>
      <c r="BF81" s="9"/>
      <c r="BG81" s="9"/>
      <c r="BH81" s="9">
        <v>70748</v>
      </c>
      <c r="BI81" s="9"/>
      <c r="BJ81" s="9"/>
      <c r="BK81" s="9"/>
      <c r="BL81" s="9"/>
      <c r="BM81" s="9"/>
      <c r="BN81" s="9"/>
      <c r="BO81" s="9"/>
      <c r="BP81" s="6">
        <f t="shared" si="17"/>
        <v>70748</v>
      </c>
      <c r="BQ81" s="9"/>
      <c r="BR81" s="6">
        <f>382731-347524</f>
        <v>35207</v>
      </c>
      <c r="BS81" s="6"/>
      <c r="BT81" s="6">
        <f t="shared" si="18"/>
        <v>311983</v>
      </c>
      <c r="BU81" s="6"/>
      <c r="BV81" s="6">
        <f t="shared" si="19"/>
        <v>382731</v>
      </c>
      <c r="BW81" s="9"/>
      <c r="BX81" s="6">
        <f t="shared" si="20"/>
        <v>-35207</v>
      </c>
    </row>
    <row r="82" spans="1:76" s="21" customFormat="1">
      <c r="A82" s="31"/>
      <c r="B82" s="234" t="s">
        <v>308</v>
      </c>
      <c r="J82" s="8"/>
      <c r="L82" s="141"/>
      <c r="M82" s="9"/>
      <c r="N82" s="9"/>
      <c r="O82" s="9"/>
      <c r="P82" s="9"/>
      <c r="Q82" s="9"/>
      <c r="R82" s="231">
        <f>405981+158966</f>
        <v>564947</v>
      </c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J82" s="9"/>
      <c r="AL82" s="9"/>
      <c r="AN82" s="9"/>
      <c r="AO82" s="9"/>
      <c r="AP82" s="9"/>
      <c r="AQ82" s="9"/>
      <c r="AR82" s="9"/>
      <c r="AS82" s="9"/>
      <c r="AT82" s="9"/>
      <c r="AU82" s="9"/>
      <c r="AV82" s="6"/>
      <c r="AW82" s="9"/>
      <c r="AX82" s="9"/>
      <c r="AY82" s="9"/>
      <c r="AZ82" s="6">
        <v>0</v>
      </c>
      <c r="BA82" s="9"/>
      <c r="BB82" s="9"/>
      <c r="BC82"/>
      <c r="BD82" s="9"/>
      <c r="BE82"/>
      <c r="BF82" s="9"/>
      <c r="BG82" s="9"/>
      <c r="BH82" s="9">
        <f>367355+297298</f>
        <v>664653</v>
      </c>
      <c r="BI82" s="9"/>
      <c r="BJ82" s="9"/>
      <c r="BK82" s="9"/>
      <c r="BL82" s="9"/>
      <c r="BM82" s="9"/>
      <c r="BN82" s="9"/>
      <c r="BO82" s="9"/>
      <c r="BP82" s="6">
        <f t="shared" si="17"/>
        <v>664653</v>
      </c>
      <c r="BQ82" s="9"/>
      <c r="BR82" s="6">
        <v>0</v>
      </c>
      <c r="BS82" s="6"/>
      <c r="BT82" s="6">
        <f t="shared" si="18"/>
        <v>0</v>
      </c>
      <c r="BU82" s="6"/>
      <c r="BV82" s="6">
        <f t="shared" si="19"/>
        <v>664653</v>
      </c>
      <c r="BW82" s="9"/>
      <c r="BX82" s="6">
        <f t="shared" si="20"/>
        <v>-99706</v>
      </c>
    </row>
    <row r="83" spans="1:76" s="21" customFormat="1">
      <c r="A83" s="31"/>
      <c r="B83" s="234" t="s">
        <v>396</v>
      </c>
      <c r="J83" s="8"/>
      <c r="L83" s="141"/>
      <c r="M83" s="9"/>
      <c r="N83" s="9"/>
      <c r="O83" s="9"/>
      <c r="P83" s="9"/>
      <c r="Q83" s="9"/>
      <c r="R83" s="231">
        <v>3436815</v>
      </c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J83" s="9"/>
      <c r="AL83" s="9"/>
      <c r="AN83" s="9"/>
      <c r="AO83" s="9"/>
      <c r="AP83" s="9"/>
      <c r="AQ83" s="9"/>
      <c r="AR83" s="9"/>
      <c r="AS83" s="9"/>
      <c r="AT83" s="9"/>
      <c r="AU83" s="9"/>
      <c r="AV83" s="6">
        <v>1953</v>
      </c>
      <c r="AW83" s="9"/>
      <c r="AX83" s="9"/>
      <c r="AY83" s="9"/>
      <c r="AZ83" s="6">
        <f>684606-1953</f>
        <v>682653</v>
      </c>
      <c r="BA83" s="9"/>
      <c r="BB83" s="9"/>
      <c r="BC83"/>
      <c r="BD83" s="9"/>
      <c r="BE83"/>
      <c r="BF83" s="9"/>
      <c r="BG83" s="9"/>
      <c r="BH83" s="9">
        <f>4758976-684606</f>
        <v>4074370</v>
      </c>
      <c r="BI83" s="9"/>
      <c r="BJ83" s="9"/>
      <c r="BK83" s="9"/>
      <c r="BL83" s="9"/>
      <c r="BM83" s="9"/>
      <c r="BN83" s="9"/>
      <c r="BO83" s="9"/>
      <c r="BP83" s="6">
        <f t="shared" si="17"/>
        <v>4758976</v>
      </c>
      <c r="BQ83" s="9"/>
      <c r="BR83" s="6">
        <f>4361334-3436815</f>
        <v>924519</v>
      </c>
      <c r="BS83" s="6"/>
      <c r="BT83" s="6">
        <f t="shared" si="18"/>
        <v>0</v>
      </c>
      <c r="BU83" s="6"/>
      <c r="BV83" s="6">
        <f t="shared" si="19"/>
        <v>4758976</v>
      </c>
      <c r="BW83" s="9"/>
      <c r="BX83" s="6">
        <f t="shared" si="20"/>
        <v>-1322161</v>
      </c>
    </row>
    <row r="84" spans="1:76" s="21" customFormat="1">
      <c r="A84" s="31"/>
      <c r="B84" s="234" t="s">
        <v>398</v>
      </c>
      <c r="J84" s="8"/>
      <c r="L84" s="141"/>
      <c r="M84" s="9"/>
      <c r="N84" s="9"/>
      <c r="O84" s="9"/>
      <c r="P84" s="9"/>
      <c r="Q84" s="9"/>
      <c r="R84" s="231">
        <v>582144</v>
      </c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J84" s="9"/>
      <c r="AL84" s="9"/>
      <c r="AN84" s="9"/>
      <c r="AO84" s="9"/>
      <c r="AP84" s="9"/>
      <c r="AQ84" s="9"/>
      <c r="AR84" s="9"/>
      <c r="AS84" s="9"/>
      <c r="AT84" s="9"/>
      <c r="AU84" s="9"/>
      <c r="AV84" s="6"/>
      <c r="AW84" s="9"/>
      <c r="AX84" s="9"/>
      <c r="AY84" s="9"/>
      <c r="AZ84" s="6">
        <v>72428</v>
      </c>
      <c r="BA84" s="9"/>
      <c r="BB84" s="9"/>
      <c r="BC84"/>
      <c r="BD84" s="9"/>
      <c r="BE84"/>
      <c r="BF84" s="9"/>
      <c r="BG84" s="9"/>
      <c r="BH84" s="9">
        <f>786230-72428</f>
        <v>713802</v>
      </c>
      <c r="BI84" s="9"/>
      <c r="BJ84" s="9"/>
      <c r="BK84" s="9"/>
      <c r="BL84" s="9"/>
      <c r="BM84" s="9"/>
      <c r="BN84" s="9"/>
      <c r="BO84" s="9"/>
      <c r="BP84" s="6">
        <f t="shared" si="17"/>
        <v>786230</v>
      </c>
      <c r="BQ84" s="9"/>
      <c r="BR84" s="6">
        <f>836221-582144</f>
        <v>254077</v>
      </c>
      <c r="BS84" s="6"/>
      <c r="BT84" s="6">
        <f t="shared" si="18"/>
        <v>49991</v>
      </c>
      <c r="BU84" s="6"/>
      <c r="BV84" s="6">
        <f t="shared" si="19"/>
        <v>836221</v>
      </c>
      <c r="BW84" s="9"/>
      <c r="BX84" s="6">
        <f t="shared" si="20"/>
        <v>-254077</v>
      </c>
    </row>
    <row r="85" spans="1:76" s="21" customFormat="1">
      <c r="A85" s="31"/>
      <c r="B85" s="235"/>
      <c r="J85" s="8"/>
      <c r="L85" s="141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J85" s="9"/>
      <c r="AL85" s="9"/>
      <c r="AN85" s="9"/>
      <c r="AO85" s="9"/>
      <c r="AP85" s="9"/>
      <c r="AQ85" s="9"/>
      <c r="AR85" s="9"/>
      <c r="AS85" s="9"/>
      <c r="AT85" s="9"/>
      <c r="AU85" s="9"/>
      <c r="AV85" s="9"/>
      <c r="AW85" s="9"/>
      <c r="AX85" s="9"/>
      <c r="AY85" s="9"/>
      <c r="AZ85" s="9"/>
      <c r="BA85" s="9"/>
      <c r="BB85" s="9"/>
      <c r="BC85"/>
      <c r="BD85" s="9"/>
      <c r="BE85"/>
      <c r="BF85" s="9"/>
      <c r="BG85" s="9"/>
      <c r="BH85" s="9"/>
      <c r="BI85" s="9"/>
      <c r="BJ85" s="9"/>
      <c r="BK85" s="9"/>
      <c r="BL85" s="9"/>
      <c r="BM85" s="9"/>
      <c r="BN85" s="9"/>
      <c r="BO85" s="9"/>
      <c r="BP85" s="9"/>
      <c r="BQ85" s="9"/>
      <c r="BR85" s="9"/>
      <c r="BS85" s="9"/>
      <c r="BT85" s="6">
        <f t="shared" si="18"/>
        <v>0</v>
      </c>
      <c r="BU85" s="6"/>
      <c r="BV85" s="6">
        <f t="shared" si="19"/>
        <v>0</v>
      </c>
      <c r="BW85" s="9"/>
      <c r="BX85" s="6">
        <f>+R85-BV85</f>
        <v>0</v>
      </c>
    </row>
    <row r="86" spans="1:76" s="21" customFormat="1">
      <c r="A86" s="31"/>
      <c r="B86" s="232" t="s">
        <v>311</v>
      </c>
      <c r="J86" s="8"/>
      <c r="L86" s="141"/>
      <c r="M86" s="9"/>
      <c r="N86" s="9"/>
      <c r="O86" s="9"/>
      <c r="P86" s="9"/>
      <c r="Q86" s="9"/>
      <c r="R86" s="9">
        <f t="shared" ref="R86:AH86" si="21">SUM(R66:R85)</f>
        <v>12449673</v>
      </c>
      <c r="S86" s="9">
        <f t="shared" si="21"/>
        <v>0</v>
      </c>
      <c r="T86" s="9">
        <f t="shared" si="21"/>
        <v>0</v>
      </c>
      <c r="U86" s="9">
        <f t="shared" si="21"/>
        <v>0</v>
      </c>
      <c r="V86" s="9">
        <f t="shared" si="21"/>
        <v>0</v>
      </c>
      <c r="W86" s="9">
        <f t="shared" si="21"/>
        <v>0</v>
      </c>
      <c r="X86" s="9">
        <f t="shared" si="21"/>
        <v>0</v>
      </c>
      <c r="Y86" s="9">
        <f t="shared" si="21"/>
        <v>0</v>
      </c>
      <c r="Z86" s="9">
        <f t="shared" si="21"/>
        <v>0</v>
      </c>
      <c r="AA86" s="9">
        <f t="shared" si="21"/>
        <v>0</v>
      </c>
      <c r="AB86" s="9">
        <f t="shared" si="21"/>
        <v>0</v>
      </c>
      <c r="AC86" s="9">
        <f t="shared" si="21"/>
        <v>0</v>
      </c>
      <c r="AD86" s="9">
        <f t="shared" si="21"/>
        <v>0</v>
      </c>
      <c r="AE86" s="9">
        <f t="shared" si="21"/>
        <v>0</v>
      </c>
      <c r="AF86" s="9">
        <f t="shared" si="21"/>
        <v>0</v>
      </c>
      <c r="AG86" s="9">
        <f t="shared" si="21"/>
        <v>0</v>
      </c>
      <c r="AH86" s="9">
        <f t="shared" si="21"/>
        <v>0</v>
      </c>
      <c r="AI86" s="9"/>
      <c r="AJ86" s="9">
        <f>SUM(AJ66:AJ85)</f>
        <v>0</v>
      </c>
      <c r="AK86" s="9"/>
      <c r="AL86" s="9">
        <f>SUM(AL66:AL85)</f>
        <v>0</v>
      </c>
      <c r="AM86" s="9"/>
      <c r="AN86" s="9">
        <f>SUM(AN66:AN85)</f>
        <v>0</v>
      </c>
      <c r="AO86" s="9"/>
      <c r="AP86" s="9">
        <f>SUM(AP66:AP85)</f>
        <v>0</v>
      </c>
      <c r="AQ86" s="9"/>
      <c r="AR86" s="9">
        <f t="shared" ref="AR86:BW86" si="22">SUM(AR66:AR85)</f>
        <v>204588</v>
      </c>
      <c r="AS86" s="9">
        <f t="shared" si="22"/>
        <v>0</v>
      </c>
      <c r="AT86" s="9">
        <f t="shared" si="22"/>
        <v>0</v>
      </c>
      <c r="AU86" s="9">
        <f t="shared" si="22"/>
        <v>0</v>
      </c>
      <c r="AV86" s="9">
        <f t="shared" si="22"/>
        <v>2792896</v>
      </c>
      <c r="AW86" s="9">
        <f t="shared" si="22"/>
        <v>0</v>
      </c>
      <c r="AX86" s="9">
        <f t="shared" si="22"/>
        <v>0</v>
      </c>
      <c r="AY86" s="9">
        <f t="shared" si="22"/>
        <v>0</v>
      </c>
      <c r="AZ86" s="9">
        <f t="shared" si="22"/>
        <v>4875123</v>
      </c>
      <c r="BA86" s="9">
        <f t="shared" si="22"/>
        <v>0</v>
      </c>
      <c r="BB86" s="9">
        <f t="shared" si="22"/>
        <v>0</v>
      </c>
      <c r="BC86"/>
      <c r="BD86" s="9">
        <f t="shared" si="22"/>
        <v>0</v>
      </c>
      <c r="BE86"/>
      <c r="BF86" s="9">
        <f t="shared" si="22"/>
        <v>0</v>
      </c>
      <c r="BG86" s="9">
        <f t="shared" si="22"/>
        <v>0</v>
      </c>
      <c r="BH86" s="9">
        <f t="shared" si="22"/>
        <v>9750969</v>
      </c>
      <c r="BI86" s="9">
        <f t="shared" si="22"/>
        <v>0</v>
      </c>
      <c r="BJ86" s="9">
        <f t="shared" si="22"/>
        <v>0</v>
      </c>
      <c r="BK86" s="9">
        <f t="shared" si="22"/>
        <v>0</v>
      </c>
      <c r="BL86" s="9">
        <f t="shared" si="22"/>
        <v>0</v>
      </c>
      <c r="BM86" s="9">
        <f t="shared" si="22"/>
        <v>0</v>
      </c>
      <c r="BN86" s="9">
        <f t="shared" si="22"/>
        <v>0</v>
      </c>
      <c r="BO86" s="9">
        <f t="shared" si="22"/>
        <v>0</v>
      </c>
      <c r="BP86" s="9">
        <f t="shared" si="22"/>
        <v>17623576</v>
      </c>
      <c r="BQ86" s="9">
        <f t="shared" si="22"/>
        <v>0</v>
      </c>
      <c r="BR86" s="9">
        <f t="shared" si="22"/>
        <v>2884119</v>
      </c>
      <c r="BS86" s="9">
        <f t="shared" si="22"/>
        <v>0</v>
      </c>
      <c r="BT86" s="9">
        <f t="shared" si="22"/>
        <v>1040771</v>
      </c>
      <c r="BU86" s="9">
        <f t="shared" si="22"/>
        <v>0</v>
      </c>
      <c r="BV86" s="9">
        <f t="shared" si="22"/>
        <v>18664347</v>
      </c>
      <c r="BW86" s="9">
        <f t="shared" si="22"/>
        <v>0</v>
      </c>
      <c r="BX86" s="9">
        <f>+R86-BV86</f>
        <v>-6214674</v>
      </c>
    </row>
    <row r="87" spans="1:76" s="21" customFormat="1">
      <c r="A87" s="31"/>
      <c r="B87" s="232"/>
      <c r="J87" s="8"/>
      <c r="L87" s="141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J87" s="9"/>
      <c r="AL87" s="9"/>
      <c r="AN87" s="9"/>
      <c r="AO87" s="9"/>
      <c r="AP87" s="9"/>
      <c r="AQ87" s="9"/>
      <c r="AR87" s="9"/>
      <c r="AS87" s="9"/>
      <c r="AT87" s="9"/>
      <c r="AU87" s="9"/>
      <c r="AV87" s="9"/>
      <c r="AW87" s="9"/>
      <c r="AX87" s="9"/>
      <c r="AY87" s="9"/>
      <c r="AZ87" s="9"/>
      <c r="BA87" s="9"/>
      <c r="BB87" s="9"/>
      <c r="BC87"/>
      <c r="BD87" s="9"/>
      <c r="BE87"/>
      <c r="BF87" s="9"/>
      <c r="BG87" s="9"/>
      <c r="BH87" s="9"/>
      <c r="BI87" s="9"/>
      <c r="BJ87" s="9"/>
      <c r="BK87" s="9"/>
      <c r="BL87" s="9"/>
      <c r="BM87" s="9"/>
      <c r="BN87" s="9"/>
      <c r="BO87" s="9"/>
      <c r="BP87" s="9"/>
      <c r="BQ87" s="9"/>
      <c r="BR87" s="9"/>
      <c r="BS87" s="9"/>
      <c r="BT87" s="9"/>
      <c r="BU87" s="9"/>
      <c r="BV87" s="9"/>
      <c r="BW87" s="9"/>
    </row>
    <row r="88" spans="1:76" s="21" customFormat="1">
      <c r="A88" s="31"/>
      <c r="B88" s="237" t="s">
        <v>313</v>
      </c>
      <c r="J88" s="8"/>
      <c r="L88" s="141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J88" s="9"/>
      <c r="AL88" s="9"/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/>
      <c r="AY88" s="9"/>
      <c r="AZ88" s="9"/>
      <c r="BA88" s="9"/>
      <c r="BB88" s="9"/>
      <c r="BC88"/>
      <c r="BD88" s="9"/>
      <c r="BE88"/>
      <c r="BF88" s="9"/>
      <c r="BG88" s="9"/>
      <c r="BH88" s="9"/>
      <c r="BI88" s="9"/>
      <c r="BJ88" s="9"/>
      <c r="BK88" s="9"/>
      <c r="BL88" s="9"/>
      <c r="BM88" s="9"/>
      <c r="BN88" s="9"/>
      <c r="BO88" s="9"/>
      <c r="BP88" s="9"/>
      <c r="BQ88" s="9"/>
      <c r="BR88" s="9"/>
      <c r="BS88" s="9"/>
      <c r="BT88" s="9"/>
      <c r="BU88" s="9"/>
      <c r="BV88" s="9"/>
      <c r="BW88" s="9"/>
    </row>
    <row r="89" spans="1:76" s="21" customFormat="1">
      <c r="A89" s="31"/>
      <c r="B89" s="236" t="s">
        <v>67</v>
      </c>
      <c r="J89" s="8"/>
      <c r="L89" s="141"/>
      <c r="M89" s="9"/>
      <c r="N89" s="9"/>
      <c r="O89" s="9"/>
      <c r="P89" s="9"/>
      <c r="Q89" s="9"/>
      <c r="R89" s="231">
        <v>9230000</v>
      </c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J89" s="9"/>
      <c r="AL89" s="9"/>
      <c r="AN89" s="9"/>
      <c r="AO89" s="9"/>
      <c r="AP89" s="9"/>
      <c r="AQ89" s="9"/>
      <c r="AR89" s="9"/>
      <c r="AS89" s="9"/>
      <c r="AT89" s="9"/>
      <c r="AU89" s="9"/>
      <c r="AV89" s="6">
        <v>848349</v>
      </c>
      <c r="AW89" s="9"/>
      <c r="AX89" s="9"/>
      <c r="AY89" s="9"/>
      <c r="AZ89" s="6">
        <f>8708878-848349</f>
        <v>7860529</v>
      </c>
      <c r="BA89" s="9"/>
      <c r="BB89" s="9"/>
      <c r="BC89"/>
      <c r="BD89" s="9"/>
      <c r="BE89"/>
      <c r="BF89" s="9"/>
      <c r="BG89" s="9"/>
      <c r="BH89" s="9">
        <f>12182028-8708878</f>
        <v>3473150</v>
      </c>
      <c r="BI89" s="9"/>
      <c r="BJ89" s="9"/>
      <c r="BK89" s="9"/>
      <c r="BL89" s="9"/>
      <c r="BM89" s="9"/>
      <c r="BN89" s="9"/>
      <c r="BO89" s="9"/>
      <c r="BP89" s="6">
        <f>SUM(T89:BO89)</f>
        <v>12182028</v>
      </c>
      <c r="BQ89" s="9"/>
      <c r="BR89" s="6">
        <f>12136758-9230000</f>
        <v>2906758</v>
      </c>
      <c r="BS89" s="6"/>
      <c r="BT89" s="6">
        <f>IF(+R89-BP89+BR89&gt;0,R89-BP89+BR89,0)</f>
        <v>0</v>
      </c>
      <c r="BU89" s="6"/>
      <c r="BV89" s="6">
        <f>+BP89+BT89</f>
        <v>12182028</v>
      </c>
      <c r="BW89" s="9"/>
      <c r="BX89" s="6">
        <f>+R89-BV89</f>
        <v>-2952028</v>
      </c>
    </row>
    <row r="90" spans="1:76" s="21" customFormat="1">
      <c r="A90" s="31"/>
      <c r="B90" s="229"/>
      <c r="J90" s="8"/>
      <c r="L90" s="141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J90" s="9"/>
      <c r="AL90" s="9"/>
      <c r="AN90" s="9"/>
      <c r="AO90" s="9"/>
      <c r="AP90" s="9"/>
      <c r="AQ90" s="9"/>
      <c r="AR90" s="9"/>
      <c r="AS90" s="9"/>
      <c r="AT90" s="9"/>
      <c r="AU90" s="9"/>
      <c r="AV90" s="9"/>
      <c r="AW90" s="9"/>
      <c r="AX90" s="9"/>
      <c r="AY90" s="9"/>
      <c r="AZ90" s="9"/>
      <c r="BA90" s="9"/>
      <c r="BB90" s="9"/>
      <c r="BC90"/>
      <c r="BD90" s="9"/>
      <c r="BE90"/>
      <c r="BF90" s="9"/>
      <c r="BG90" s="9"/>
      <c r="BH90" s="9"/>
      <c r="BI90" s="9"/>
      <c r="BJ90" s="9"/>
      <c r="BK90" s="9"/>
      <c r="BL90" s="9"/>
      <c r="BM90" s="9"/>
      <c r="BN90" s="9"/>
      <c r="BO90" s="9"/>
      <c r="BP90" s="9"/>
      <c r="BQ90" s="9"/>
      <c r="BR90" s="9"/>
      <c r="BS90" s="9"/>
      <c r="BT90" s="9"/>
      <c r="BU90" s="9"/>
      <c r="BV90" s="9"/>
      <c r="BW90" s="9"/>
    </row>
    <row r="91" spans="1:76" s="21" customFormat="1">
      <c r="A91" s="31"/>
      <c r="B91" s="230" t="s">
        <v>312</v>
      </c>
      <c r="J91" s="8"/>
      <c r="L91" s="141"/>
      <c r="M91" s="9"/>
      <c r="N91" s="9"/>
      <c r="O91" s="9"/>
      <c r="P91" s="9"/>
      <c r="Q91" s="9"/>
      <c r="R91" s="9">
        <f t="shared" ref="R91:AH91" si="23">SUM(R89:R90)</f>
        <v>9230000</v>
      </c>
      <c r="S91" s="9">
        <f t="shared" si="23"/>
        <v>0</v>
      </c>
      <c r="T91" s="9">
        <f t="shared" si="23"/>
        <v>0</v>
      </c>
      <c r="U91" s="9">
        <f t="shared" si="23"/>
        <v>0</v>
      </c>
      <c r="V91" s="9">
        <f t="shared" si="23"/>
        <v>0</v>
      </c>
      <c r="W91" s="9">
        <f t="shared" si="23"/>
        <v>0</v>
      </c>
      <c r="X91" s="9">
        <f t="shared" si="23"/>
        <v>0</v>
      </c>
      <c r="Y91" s="9">
        <f t="shared" si="23"/>
        <v>0</v>
      </c>
      <c r="Z91" s="9">
        <f t="shared" si="23"/>
        <v>0</v>
      </c>
      <c r="AA91" s="9">
        <f t="shared" si="23"/>
        <v>0</v>
      </c>
      <c r="AB91" s="9">
        <f t="shared" si="23"/>
        <v>0</v>
      </c>
      <c r="AC91" s="9">
        <f t="shared" si="23"/>
        <v>0</v>
      </c>
      <c r="AD91" s="9">
        <f t="shared" si="23"/>
        <v>0</v>
      </c>
      <c r="AE91" s="9">
        <f t="shared" si="23"/>
        <v>0</v>
      </c>
      <c r="AF91" s="9">
        <f t="shared" si="23"/>
        <v>0</v>
      </c>
      <c r="AG91" s="9">
        <f t="shared" si="23"/>
        <v>0</v>
      </c>
      <c r="AH91" s="9">
        <f t="shared" si="23"/>
        <v>0</v>
      </c>
      <c r="AI91" s="9"/>
      <c r="AJ91" s="9">
        <f>SUM(AJ89:AJ90)</f>
        <v>0</v>
      </c>
      <c r="AK91" s="9"/>
      <c r="AL91" s="9">
        <f>SUM(AL89:AL90)</f>
        <v>0</v>
      </c>
      <c r="AM91" s="9"/>
      <c r="AN91" s="9">
        <f>SUM(AN89:AN90)</f>
        <v>0</v>
      </c>
      <c r="AO91" s="9"/>
      <c r="AP91" s="9">
        <f>SUM(AP89:AP90)</f>
        <v>0</v>
      </c>
      <c r="AQ91" s="9"/>
      <c r="AR91" s="9">
        <f t="shared" ref="AR91:BV91" si="24">SUM(AR89:AR90)</f>
        <v>0</v>
      </c>
      <c r="AS91" s="9">
        <f t="shared" si="24"/>
        <v>0</v>
      </c>
      <c r="AT91" s="9">
        <f t="shared" si="24"/>
        <v>0</v>
      </c>
      <c r="AU91" s="9">
        <f t="shared" si="24"/>
        <v>0</v>
      </c>
      <c r="AV91" s="9">
        <f t="shared" si="24"/>
        <v>848349</v>
      </c>
      <c r="AW91" s="9">
        <f t="shared" si="24"/>
        <v>0</v>
      </c>
      <c r="AX91" s="9">
        <f t="shared" si="24"/>
        <v>0</v>
      </c>
      <c r="AY91" s="9">
        <f t="shared" si="24"/>
        <v>0</v>
      </c>
      <c r="AZ91" s="9">
        <f t="shared" si="24"/>
        <v>7860529</v>
      </c>
      <c r="BA91" s="9">
        <f t="shared" si="24"/>
        <v>0</v>
      </c>
      <c r="BB91" s="9">
        <f t="shared" si="24"/>
        <v>0</v>
      </c>
      <c r="BC91"/>
      <c r="BD91" s="9">
        <f t="shared" si="24"/>
        <v>0</v>
      </c>
      <c r="BE91"/>
      <c r="BF91" s="9">
        <f t="shared" si="24"/>
        <v>0</v>
      </c>
      <c r="BG91" s="9">
        <f t="shared" si="24"/>
        <v>0</v>
      </c>
      <c r="BH91" s="9">
        <f t="shared" si="24"/>
        <v>3473150</v>
      </c>
      <c r="BI91" s="9">
        <f t="shared" si="24"/>
        <v>0</v>
      </c>
      <c r="BJ91" s="9">
        <f t="shared" si="24"/>
        <v>0</v>
      </c>
      <c r="BK91" s="9">
        <f t="shared" si="24"/>
        <v>0</v>
      </c>
      <c r="BL91" s="9">
        <f t="shared" si="24"/>
        <v>0</v>
      </c>
      <c r="BM91" s="9">
        <f t="shared" si="24"/>
        <v>0</v>
      </c>
      <c r="BN91" s="9">
        <f t="shared" si="24"/>
        <v>0</v>
      </c>
      <c r="BO91" s="9">
        <f t="shared" si="24"/>
        <v>0</v>
      </c>
      <c r="BP91" s="9">
        <f t="shared" si="24"/>
        <v>12182028</v>
      </c>
      <c r="BQ91" s="9">
        <f t="shared" si="24"/>
        <v>0</v>
      </c>
      <c r="BR91" s="9">
        <f t="shared" si="24"/>
        <v>2906758</v>
      </c>
      <c r="BS91" s="9">
        <f t="shared" si="24"/>
        <v>0</v>
      </c>
      <c r="BT91" s="9">
        <f t="shared" si="24"/>
        <v>0</v>
      </c>
      <c r="BU91" s="9">
        <f t="shared" si="24"/>
        <v>0</v>
      </c>
      <c r="BV91" s="9">
        <f t="shared" si="24"/>
        <v>12182028</v>
      </c>
      <c r="BW91" s="9"/>
      <c r="BX91" s="9">
        <f>+R91-BV91</f>
        <v>-2952028</v>
      </c>
    </row>
    <row r="92" spans="1:76" s="21" customFormat="1">
      <c r="A92" s="31"/>
      <c r="B92" s="230"/>
      <c r="J92" s="8"/>
      <c r="L92" s="141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/>
      <c r="AT92" s="9"/>
      <c r="AU92" s="9"/>
      <c r="AV92" s="9"/>
      <c r="AW92" s="9"/>
      <c r="AX92" s="9"/>
      <c r="AY92" s="9"/>
      <c r="AZ92" s="9"/>
      <c r="BA92" s="9"/>
      <c r="BB92" s="9"/>
      <c r="BC92"/>
      <c r="BD92" s="9"/>
      <c r="BE92"/>
      <c r="BF92" s="9"/>
      <c r="BG92" s="9"/>
      <c r="BH92" s="9"/>
      <c r="BI92" s="9"/>
      <c r="BJ92" s="9"/>
      <c r="BK92" s="9"/>
      <c r="BL92" s="9"/>
      <c r="BM92" s="9"/>
      <c r="BN92" s="9"/>
      <c r="BO92" s="9"/>
      <c r="BP92" s="9"/>
      <c r="BQ92" s="9"/>
      <c r="BR92" s="9"/>
      <c r="BS92" s="9"/>
      <c r="BT92" s="9"/>
      <c r="BU92" s="9"/>
      <c r="BV92" s="9"/>
      <c r="BW92" s="9"/>
      <c r="BX92" s="9"/>
    </row>
    <row r="93" spans="1:76" s="21" customFormat="1">
      <c r="A93" s="31"/>
      <c r="B93" s="17" t="s">
        <v>337</v>
      </c>
      <c r="J93" s="8"/>
      <c r="L93" s="141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9"/>
      <c r="AP93" s="9"/>
      <c r="AQ93" s="9"/>
      <c r="AR93" s="9"/>
      <c r="AS93" s="9"/>
      <c r="AT93" s="9">
        <v>-250000</v>
      </c>
      <c r="AU93" s="9"/>
      <c r="AV93" s="9"/>
      <c r="AW93" s="9"/>
      <c r="AX93" s="9"/>
      <c r="AY93" s="9"/>
      <c r="AZ93" s="9"/>
      <c r="BA93" s="9"/>
      <c r="BB93" s="9"/>
      <c r="BC93"/>
      <c r="BD93" s="9"/>
      <c r="BE93"/>
      <c r="BF93" s="9"/>
      <c r="BG93" s="9"/>
      <c r="BH93" s="9"/>
      <c r="BI93" s="9"/>
      <c r="BJ93" s="9"/>
      <c r="BK93" s="9"/>
      <c r="BL93" s="9"/>
      <c r="BM93" s="9"/>
      <c r="BN93" s="9"/>
      <c r="BO93" s="9"/>
      <c r="BP93" s="6">
        <f>SUM(T93:BO93)</f>
        <v>-250000</v>
      </c>
      <c r="BQ93" s="9"/>
      <c r="BR93" s="9">
        <v>0</v>
      </c>
      <c r="BS93" s="9"/>
      <c r="BT93" s="6"/>
      <c r="BU93" s="9"/>
      <c r="BV93" s="6">
        <v>0</v>
      </c>
      <c r="BW93" s="9"/>
      <c r="BX93" s="6">
        <f>+R93-BV93</f>
        <v>0</v>
      </c>
    </row>
    <row r="94" spans="1:76" s="21" customFormat="1">
      <c r="A94" s="31"/>
      <c r="B94" s="230"/>
      <c r="J94" s="8"/>
      <c r="L94" s="141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/>
      <c r="AP94" s="9"/>
      <c r="AQ94" s="9"/>
      <c r="AR94" s="9"/>
      <c r="AS94" s="9"/>
      <c r="AT94" s="9"/>
      <c r="AU94" s="9"/>
      <c r="AV94" s="9"/>
      <c r="AW94" s="9"/>
      <c r="AX94" s="9"/>
      <c r="AY94" s="9"/>
      <c r="AZ94" s="9"/>
      <c r="BA94" s="9"/>
      <c r="BB94" s="9"/>
      <c r="BC94"/>
      <c r="BD94" s="9"/>
      <c r="BE94"/>
      <c r="BF94" s="9"/>
      <c r="BG94" s="9"/>
      <c r="BH94" s="9"/>
      <c r="BI94" s="9"/>
      <c r="BJ94" s="9"/>
      <c r="BK94" s="9"/>
      <c r="BL94" s="9"/>
      <c r="BM94" s="9"/>
      <c r="BN94" s="9"/>
      <c r="BO94" s="9"/>
      <c r="BP94" s="9"/>
      <c r="BQ94" s="9"/>
      <c r="BR94" s="9"/>
      <c r="BS94" s="9"/>
      <c r="BT94" s="9"/>
      <c r="BU94" s="9"/>
      <c r="BV94" s="9"/>
      <c r="BW94" s="9"/>
      <c r="BX94" s="6"/>
    </row>
    <row r="95" spans="1:76" s="21" customFormat="1">
      <c r="A95" s="31"/>
      <c r="B95" s="237" t="s">
        <v>314</v>
      </c>
      <c r="J95" s="8"/>
      <c r="L95" s="141"/>
      <c r="M95" s="9"/>
      <c r="N95" s="9"/>
      <c r="O95" s="9"/>
      <c r="P95" s="9"/>
      <c r="Q95" s="9"/>
      <c r="R95" s="9">
        <v>0</v>
      </c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9"/>
      <c r="AO95" s="9"/>
      <c r="AP95" s="9"/>
      <c r="AQ95" s="9"/>
      <c r="AR95" s="9">
        <f>6054031.56-709427</f>
        <v>5344604.5599999996</v>
      </c>
      <c r="AS95" s="9"/>
      <c r="AT95" s="9"/>
      <c r="AU95" s="9"/>
      <c r="AV95" s="6">
        <f>-5344605+5295206-291068</f>
        <v>-340467</v>
      </c>
      <c r="AW95" s="9"/>
      <c r="AX95" s="9">
        <v>6512226</v>
      </c>
      <c r="AY95" s="9"/>
      <c r="AZ95" s="9">
        <v>-9645865</v>
      </c>
      <c r="BA95" s="9"/>
      <c r="BB95" s="9">
        <v>7581129</v>
      </c>
      <c r="BC95"/>
      <c r="BD95" s="9"/>
      <c r="BE95"/>
      <c r="BF95" s="9">
        <f>8254970+2743470+249699-250000</f>
        <v>10998139</v>
      </c>
      <c r="BG95" s="9"/>
      <c r="BH95" s="9">
        <f>-18385535+1302930</f>
        <v>-17082605</v>
      </c>
      <c r="BI95" s="9"/>
      <c r="BJ95" s="9"/>
      <c r="BK95" s="9"/>
      <c r="BL95" s="9"/>
      <c r="BM95" s="9"/>
      <c r="BN95" s="9"/>
      <c r="BO95" s="9"/>
      <c r="BP95" s="6">
        <f>SUM(T95:BO95)</f>
        <v>3367161.5599999987</v>
      </c>
      <c r="BQ95" s="9"/>
      <c r="BR95" s="9">
        <f>-50096668+46735000</f>
        <v>-3361668</v>
      </c>
      <c r="BS95" s="9"/>
      <c r="BT95" s="9"/>
      <c r="BU95" s="9"/>
      <c r="BV95" s="6">
        <f>-52871755+46735000</f>
        <v>-6136755</v>
      </c>
      <c r="BW95" s="9"/>
      <c r="BX95" s="6">
        <f>+R95-BV95</f>
        <v>6136755</v>
      </c>
    </row>
    <row r="96" spans="1:76" s="21" customFormat="1">
      <c r="A96" s="31"/>
      <c r="B96" s="232"/>
      <c r="J96" s="8"/>
      <c r="L96" s="141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J96" s="9"/>
      <c r="AL96" s="9"/>
      <c r="AN96" s="9"/>
      <c r="AO96" s="9"/>
      <c r="AP96" s="9"/>
      <c r="AQ96" s="9"/>
      <c r="AR96" s="9"/>
      <c r="AS96" s="9"/>
      <c r="AT96" s="9"/>
      <c r="AU96" s="9"/>
      <c r="AV96" s="9"/>
      <c r="AW96" s="9"/>
      <c r="AX96" s="9"/>
      <c r="AY96" s="9"/>
      <c r="AZ96" s="9"/>
      <c r="BA96" s="9"/>
      <c r="BB96" s="9"/>
      <c r="BC96"/>
      <c r="BD96" s="9"/>
      <c r="BE96"/>
      <c r="BF96" s="9"/>
      <c r="BG96" s="9"/>
      <c r="BH96" s="9"/>
      <c r="BI96" s="9"/>
      <c r="BJ96" s="9"/>
      <c r="BK96" s="9"/>
      <c r="BL96" s="9"/>
      <c r="BM96" s="9"/>
      <c r="BN96" s="9"/>
      <c r="BO96" s="9"/>
      <c r="BP96" s="9"/>
      <c r="BQ96" s="9"/>
      <c r="BR96" s="9"/>
      <c r="BS96" s="9"/>
      <c r="BT96" s="9"/>
      <c r="BU96" s="9"/>
      <c r="BV96" s="9"/>
      <c r="BW96" s="9"/>
    </row>
    <row r="97" spans="1:77" s="105" customFormat="1">
      <c r="A97" s="54"/>
      <c r="B97" s="238" t="s">
        <v>243</v>
      </c>
      <c r="J97" s="155"/>
      <c r="L97" s="142"/>
      <c r="M97" s="13"/>
      <c r="N97" s="239">
        <f>SUM(N41:N96)</f>
        <v>0</v>
      </c>
      <c r="O97" s="13"/>
      <c r="P97" s="239">
        <f>SUM(P41:P96)</f>
        <v>0</v>
      </c>
      <c r="Q97" s="13"/>
      <c r="R97" s="239">
        <f t="shared" ref="R97:AH97" si="25">R91+R86+R63+R54+R95</f>
        <v>41741400</v>
      </c>
      <c r="S97" s="239">
        <f t="shared" si="25"/>
        <v>0</v>
      </c>
      <c r="T97" s="239">
        <f t="shared" si="25"/>
        <v>0</v>
      </c>
      <c r="U97" s="239">
        <f t="shared" si="25"/>
        <v>0</v>
      </c>
      <c r="V97" s="239">
        <f t="shared" si="25"/>
        <v>0</v>
      </c>
      <c r="W97" s="239">
        <f t="shared" si="25"/>
        <v>0</v>
      </c>
      <c r="X97" s="239">
        <f t="shared" si="25"/>
        <v>0</v>
      </c>
      <c r="Y97" s="239">
        <f t="shared" si="25"/>
        <v>0</v>
      </c>
      <c r="Z97" s="239">
        <f t="shared" si="25"/>
        <v>0</v>
      </c>
      <c r="AA97" s="239">
        <f t="shared" si="25"/>
        <v>0</v>
      </c>
      <c r="AB97" s="239">
        <f t="shared" si="25"/>
        <v>0</v>
      </c>
      <c r="AC97" s="239">
        <f t="shared" si="25"/>
        <v>0</v>
      </c>
      <c r="AD97" s="239">
        <f t="shared" si="25"/>
        <v>0</v>
      </c>
      <c r="AE97" s="239">
        <f t="shared" si="25"/>
        <v>0</v>
      </c>
      <c r="AF97" s="239">
        <f t="shared" si="25"/>
        <v>0</v>
      </c>
      <c r="AG97" s="239">
        <f t="shared" si="25"/>
        <v>0</v>
      </c>
      <c r="AH97" s="239">
        <f t="shared" si="25"/>
        <v>0</v>
      </c>
      <c r="AI97" s="239"/>
      <c r="AJ97" s="239">
        <f>AJ91+AJ86+AJ63+AJ54+AJ95</f>
        <v>0</v>
      </c>
      <c r="AK97" s="239"/>
      <c r="AL97" s="239">
        <f>AL91+AL86+AL63+AL54+AL95</f>
        <v>0</v>
      </c>
      <c r="AM97" s="239"/>
      <c r="AN97" s="239">
        <f>AN91+AN86+AN63+AN54+AN95</f>
        <v>0</v>
      </c>
      <c r="AO97" s="239"/>
      <c r="AP97" s="239">
        <f>AP91+AP86+AP63+AP54+AP95</f>
        <v>0</v>
      </c>
      <c r="AQ97" s="239"/>
      <c r="AR97" s="239">
        <f>AR91+AR86+AR63+AR54+AR95</f>
        <v>6054031.5599999996</v>
      </c>
      <c r="AS97" s="239">
        <f>AS91+AS86+AS63+AS54+AS95</f>
        <v>0</v>
      </c>
      <c r="AT97" s="239">
        <f>AT91+AT86+AT63+AT54+AT95+AT93</f>
        <v>-250000</v>
      </c>
      <c r="AU97" s="239">
        <f t="shared" ref="AU97:BF97" si="26">AU91+AU86+AU63+AU54+AU95+AU93</f>
        <v>0</v>
      </c>
      <c r="AV97" s="239">
        <f t="shared" si="26"/>
        <v>5295206</v>
      </c>
      <c r="AW97" s="239">
        <f t="shared" si="26"/>
        <v>0</v>
      </c>
      <c r="AX97" s="239">
        <f t="shared" si="26"/>
        <v>6512226</v>
      </c>
      <c r="AY97" s="239">
        <f t="shared" si="26"/>
        <v>0</v>
      </c>
      <c r="AZ97" s="239">
        <f t="shared" si="26"/>
        <v>8178457</v>
      </c>
      <c r="BA97" s="239">
        <f t="shared" si="26"/>
        <v>0</v>
      </c>
      <c r="BB97" s="239">
        <f t="shared" si="26"/>
        <v>7581129</v>
      </c>
      <c r="BC97" s="239">
        <f t="shared" si="26"/>
        <v>0</v>
      </c>
      <c r="BD97" s="239">
        <f t="shared" si="26"/>
        <v>0</v>
      </c>
      <c r="BE97" s="239">
        <f t="shared" si="26"/>
        <v>0</v>
      </c>
      <c r="BF97" s="239">
        <f t="shared" si="26"/>
        <v>10998139</v>
      </c>
      <c r="BG97" s="239">
        <f t="shared" ref="BG97:BY97" si="27">BG91+BG86+BG63+BG54+BG95+BG93</f>
        <v>0</v>
      </c>
      <c r="BH97" s="239">
        <f t="shared" si="27"/>
        <v>1302930</v>
      </c>
      <c r="BI97" s="239">
        <f t="shared" si="27"/>
        <v>0</v>
      </c>
      <c r="BJ97" s="239">
        <f t="shared" si="27"/>
        <v>0</v>
      </c>
      <c r="BK97" s="239">
        <f t="shared" si="27"/>
        <v>0</v>
      </c>
      <c r="BL97" s="239">
        <f t="shared" si="27"/>
        <v>0</v>
      </c>
      <c r="BM97" s="239">
        <f>BM91+BM86+BM63+BM54+BM95+BM93</f>
        <v>0</v>
      </c>
      <c r="BN97" s="239">
        <f>BN91+BN86+BN63+BN54+BN95+BN93</f>
        <v>0</v>
      </c>
      <c r="BO97" s="239">
        <f t="shared" si="27"/>
        <v>0</v>
      </c>
      <c r="BP97" s="239">
        <f t="shared" si="27"/>
        <v>45672118.560000002</v>
      </c>
      <c r="BQ97" s="239">
        <f t="shared" si="27"/>
        <v>0</v>
      </c>
      <c r="BR97" s="239">
        <f t="shared" si="27"/>
        <v>3629444</v>
      </c>
      <c r="BS97" s="239">
        <f t="shared" si="27"/>
        <v>0</v>
      </c>
      <c r="BT97" s="239">
        <f>BV97-BP97</f>
        <v>1312881.4399999976</v>
      </c>
      <c r="BU97" s="239">
        <f t="shared" si="27"/>
        <v>0</v>
      </c>
      <c r="BV97" s="239">
        <f t="shared" si="27"/>
        <v>46985000</v>
      </c>
      <c r="BW97" s="239">
        <f t="shared" si="27"/>
        <v>0</v>
      </c>
      <c r="BX97" s="239">
        <f t="shared" si="27"/>
        <v>-5243600</v>
      </c>
      <c r="BY97" s="239">
        <f t="shared" si="27"/>
        <v>0</v>
      </c>
    </row>
    <row r="98" spans="1:77">
      <c r="A98" s="100"/>
      <c r="B98" s="17"/>
      <c r="C98"/>
      <c r="D98"/>
      <c r="E98"/>
      <c r="F98"/>
      <c r="G98"/>
      <c r="H98"/>
      <c r="I98"/>
      <c r="J98" s="49"/>
      <c r="K98"/>
      <c r="L98" s="132"/>
      <c r="M98" s="6"/>
      <c r="O98" s="6"/>
      <c r="Q98" s="6"/>
      <c r="S98" s="6"/>
      <c r="T98" s="6"/>
      <c r="U98" s="6"/>
      <c r="V98" s="6"/>
      <c r="X98" s="6"/>
      <c r="Z98" s="6"/>
      <c r="AB98" s="6"/>
      <c r="AD98" s="6"/>
      <c r="BH98" s="6">
        <f>BH97-1302930</f>
        <v>0</v>
      </c>
      <c r="BL98" s="6"/>
      <c r="BM98" s="6"/>
      <c r="BN98" s="6"/>
      <c r="BO98" s="6"/>
      <c r="BP98" s="6">
        <f>BP97+250000</f>
        <v>45922118.560000002</v>
      </c>
      <c r="BQ98" s="6"/>
      <c r="BR98" s="6"/>
      <c r="BS98" s="6"/>
      <c r="BV98" s="6">
        <f>BV97+250000</f>
        <v>47235000</v>
      </c>
      <c r="BY98" s="6"/>
    </row>
    <row r="99" spans="1:77">
      <c r="A99" s="58" t="s">
        <v>227</v>
      </c>
      <c r="B99" s="11"/>
      <c r="C99"/>
      <c r="D99"/>
      <c r="E99"/>
      <c r="F99"/>
      <c r="G99"/>
      <c r="H99"/>
      <c r="I99"/>
      <c r="J99" s="49"/>
      <c r="K99"/>
      <c r="L99" s="132"/>
      <c r="M99" s="6"/>
      <c r="O99" s="6"/>
      <c r="Q99" s="6"/>
      <c r="S99" s="6"/>
      <c r="T99" s="6"/>
      <c r="U99" s="6"/>
      <c r="V99" s="6"/>
      <c r="X99" s="6"/>
      <c r="Z99" s="6"/>
      <c r="AB99" s="6"/>
      <c r="AD99" s="6"/>
      <c r="BL99" s="6"/>
      <c r="BM99" s="6"/>
      <c r="BN99" s="6"/>
      <c r="BO99" s="6"/>
      <c r="BQ99" s="6"/>
      <c r="BR99" s="6"/>
      <c r="BS99" s="6"/>
      <c r="BY99" s="6"/>
    </row>
    <row r="100" spans="1:77">
      <c r="A100" s="17"/>
      <c r="B100" s="17" t="s">
        <v>228</v>
      </c>
      <c r="C100"/>
      <c r="D100"/>
      <c r="E100"/>
      <c r="F100"/>
      <c r="G100"/>
      <c r="H100"/>
      <c r="I100"/>
      <c r="J100" s="49" t="s">
        <v>236</v>
      </c>
      <c r="K100"/>
      <c r="L100" s="132" t="s">
        <v>202</v>
      </c>
      <c r="M100" s="6"/>
      <c r="N100" s="6">
        <v>0</v>
      </c>
      <c r="O100" s="6"/>
      <c r="P100" s="6">
        <v>0</v>
      </c>
      <c r="Q100" s="6"/>
      <c r="R100" s="6">
        <v>929800</v>
      </c>
      <c r="S100" s="6"/>
      <c r="T100" s="6">
        <v>0</v>
      </c>
      <c r="U100" s="22"/>
      <c r="V100" s="6">
        <v>0</v>
      </c>
      <c r="W100" s="22"/>
      <c r="X100" s="6">
        <v>0</v>
      </c>
      <c r="Y100" s="22"/>
      <c r="Z100" s="6">
        <v>0</v>
      </c>
      <c r="AA100" s="22"/>
      <c r="AB100" s="6">
        <v>0</v>
      </c>
      <c r="AC100" s="22"/>
      <c r="AD100" s="6">
        <v>0</v>
      </c>
      <c r="AE100" s="22"/>
      <c r="AF100" s="6">
        <v>0</v>
      </c>
      <c r="AG100" s="22"/>
      <c r="AH100" s="6">
        <v>0</v>
      </c>
      <c r="AI100" s="22"/>
      <c r="AJ100" s="6">
        <v>0</v>
      </c>
      <c r="AK100" s="22"/>
      <c r="AL100" s="6">
        <v>232450</v>
      </c>
      <c r="AM100" s="22"/>
      <c r="AN100" s="6">
        <v>0</v>
      </c>
      <c r="AO100" s="22"/>
      <c r="AP100" s="6">
        <v>77483.34</v>
      </c>
      <c r="AQ100" s="22"/>
      <c r="AR100" s="6">
        <v>77483.33</v>
      </c>
      <c r="AS100" s="22"/>
      <c r="AT100" s="6">
        <v>77483.33</v>
      </c>
      <c r="AU100" s="22"/>
      <c r="AV100" s="6">
        <v>77483.34</v>
      </c>
      <c r="AX100" s="6">
        <v>77483.34</v>
      </c>
      <c r="AZ100" s="6">
        <v>77483.33</v>
      </c>
      <c r="BB100" s="6">
        <v>77483</v>
      </c>
      <c r="BD100" s="6">
        <v>77483.33</v>
      </c>
      <c r="BF100" s="6">
        <v>77483.33</v>
      </c>
      <c r="BH100" s="6">
        <v>0</v>
      </c>
      <c r="BJ100" s="6">
        <v>0</v>
      </c>
      <c r="BL100" s="6">
        <v>13837</v>
      </c>
      <c r="BM100" s="6"/>
      <c r="BN100" s="6">
        <v>0</v>
      </c>
      <c r="BO100" s="6"/>
      <c r="BP100" s="6">
        <f t="shared" ref="BP100:BP105" si="28">SUM(T100:BO100)</f>
        <v>943636.66999999981</v>
      </c>
      <c r="BQ100" s="6"/>
      <c r="BR100" s="6">
        <v>0</v>
      </c>
      <c r="BS100" s="6"/>
      <c r="BT100" s="6">
        <f t="shared" ref="BT100:BT106" si="29">IF(+R100-BP100+BR100&gt;0,R100-BP100+BR100,0)</f>
        <v>0</v>
      </c>
      <c r="BV100" s="6">
        <f t="shared" ref="BV100:BV105" si="30">+BP100+BT100</f>
        <v>943636.66999999981</v>
      </c>
      <c r="BX100" s="6">
        <f t="shared" ref="BX100:BX105" si="31">+R100-BV100</f>
        <v>-13836.669999999809</v>
      </c>
      <c r="BY100" s="6"/>
    </row>
    <row r="101" spans="1:77">
      <c r="A101" s="17"/>
      <c r="B101" s="17" t="s">
        <v>230</v>
      </c>
      <c r="C101"/>
      <c r="D101"/>
      <c r="E101"/>
      <c r="F101"/>
      <c r="G101"/>
      <c r="H101"/>
      <c r="I101"/>
      <c r="J101" s="49" t="s">
        <v>230</v>
      </c>
      <c r="K101"/>
      <c r="L101" s="132" t="s">
        <v>202</v>
      </c>
      <c r="M101" s="6"/>
      <c r="N101" s="6">
        <v>0</v>
      </c>
      <c r="O101" s="6"/>
      <c r="P101" s="6">
        <v>0</v>
      </c>
      <c r="Q101" s="6"/>
      <c r="R101" s="6">
        <v>2840700</v>
      </c>
      <c r="S101" s="6"/>
      <c r="T101" s="6">
        <v>0</v>
      </c>
      <c r="U101" s="22"/>
      <c r="V101" s="6">
        <v>0</v>
      </c>
      <c r="W101" s="22"/>
      <c r="X101" s="6">
        <v>0</v>
      </c>
      <c r="Y101" s="22"/>
      <c r="Z101" s="6">
        <v>0</v>
      </c>
      <c r="AA101" s="22"/>
      <c r="AB101" s="6">
        <v>0</v>
      </c>
      <c r="AC101" s="22"/>
      <c r="AD101" s="6">
        <v>0</v>
      </c>
      <c r="AE101" s="22"/>
      <c r="AF101" s="6">
        <v>0</v>
      </c>
      <c r="AG101" s="22"/>
      <c r="AH101" s="6">
        <v>0</v>
      </c>
      <c r="AI101" s="22"/>
      <c r="AJ101" s="6">
        <v>0</v>
      </c>
      <c r="AK101" s="22"/>
      <c r="AL101" s="6">
        <v>710172</v>
      </c>
      <c r="AM101" s="22"/>
      <c r="AN101" s="6">
        <v>0</v>
      </c>
      <c r="AO101" s="22"/>
      <c r="AP101" s="6">
        <v>236722.33</v>
      </c>
      <c r="AQ101" s="22"/>
      <c r="AR101" s="6">
        <v>236722.33</v>
      </c>
      <c r="AS101" s="22"/>
      <c r="AT101" s="6">
        <v>236722</v>
      </c>
      <c r="AU101" s="22"/>
      <c r="AV101" s="6">
        <v>236722</v>
      </c>
      <c r="AX101" s="6">
        <v>236722</v>
      </c>
      <c r="AZ101" s="6">
        <v>236722</v>
      </c>
      <c r="BB101" s="6">
        <v>236722</v>
      </c>
      <c r="BD101" s="6">
        <v>236722</v>
      </c>
      <c r="BF101" s="6">
        <v>236722</v>
      </c>
      <c r="BH101" s="6">
        <v>0</v>
      </c>
      <c r="BJ101" s="6">
        <v>0</v>
      </c>
      <c r="BL101" s="6">
        <v>0</v>
      </c>
      <c r="BM101" s="6"/>
      <c r="BN101" s="6">
        <v>0</v>
      </c>
      <c r="BO101" s="6"/>
      <c r="BP101" s="6">
        <f t="shared" si="28"/>
        <v>2840670.66</v>
      </c>
      <c r="BQ101" s="6"/>
      <c r="BR101" s="6">
        <v>-29</v>
      </c>
      <c r="BS101" s="6"/>
      <c r="BT101" s="6">
        <f t="shared" si="29"/>
        <v>0.33999999985098839</v>
      </c>
      <c r="BV101" s="6">
        <f t="shared" si="30"/>
        <v>2840671</v>
      </c>
      <c r="BX101" s="6">
        <f t="shared" si="31"/>
        <v>29</v>
      </c>
      <c r="BY101" s="6"/>
    </row>
    <row r="102" spans="1:77">
      <c r="A102" s="17"/>
      <c r="B102" s="17" t="s">
        <v>231</v>
      </c>
      <c r="C102"/>
      <c r="D102"/>
      <c r="E102"/>
      <c r="F102"/>
      <c r="G102"/>
      <c r="H102"/>
      <c r="I102"/>
      <c r="J102" s="49" t="s">
        <v>236</v>
      </c>
      <c r="K102"/>
      <c r="L102" s="132" t="s">
        <v>202</v>
      </c>
      <c r="M102" s="6"/>
      <c r="N102" s="6">
        <v>0</v>
      </c>
      <c r="O102" s="6"/>
      <c r="P102" s="6">
        <v>0</v>
      </c>
      <c r="Q102" s="6"/>
      <c r="R102" s="6">
        <v>0</v>
      </c>
      <c r="S102" s="6"/>
      <c r="T102" s="6">
        <v>0</v>
      </c>
      <c r="U102" s="22"/>
      <c r="V102" s="6">
        <v>0</v>
      </c>
      <c r="W102" s="22"/>
      <c r="X102" s="6">
        <v>0</v>
      </c>
      <c r="Y102" s="22"/>
      <c r="Z102" s="6">
        <v>0</v>
      </c>
      <c r="AA102" s="22"/>
      <c r="AB102" s="6">
        <v>0</v>
      </c>
      <c r="AC102" s="22"/>
      <c r="AD102" s="6">
        <v>0</v>
      </c>
      <c r="AE102" s="22"/>
      <c r="AF102" s="6">
        <v>0</v>
      </c>
      <c r="AG102" s="22"/>
      <c r="AH102" s="6">
        <v>0</v>
      </c>
      <c r="AI102" s="22"/>
      <c r="AJ102" s="6">
        <v>0</v>
      </c>
      <c r="AK102" s="22"/>
      <c r="AM102" s="22"/>
      <c r="AN102" s="6">
        <v>0</v>
      </c>
      <c r="AO102" s="22"/>
      <c r="AP102" s="6">
        <v>0</v>
      </c>
      <c r="AQ102" s="22"/>
      <c r="AR102" s="6">
        <v>0</v>
      </c>
      <c r="AS102" s="22"/>
      <c r="AT102" s="6">
        <v>0</v>
      </c>
      <c r="AU102" s="22"/>
      <c r="AV102" s="6">
        <v>0</v>
      </c>
      <c r="AX102" s="6">
        <v>0</v>
      </c>
      <c r="AZ102" s="6">
        <v>0</v>
      </c>
      <c r="BB102" s="6">
        <v>0</v>
      </c>
      <c r="BD102" s="6">
        <v>0</v>
      </c>
      <c r="BF102" s="6">
        <v>0</v>
      </c>
      <c r="BH102" s="6">
        <v>0</v>
      </c>
      <c r="BJ102" s="6">
        <v>0</v>
      </c>
      <c r="BL102" s="6">
        <v>0</v>
      </c>
      <c r="BM102" s="6"/>
      <c r="BN102" s="6">
        <v>0</v>
      </c>
      <c r="BO102" s="6"/>
      <c r="BP102" s="6">
        <f t="shared" si="28"/>
        <v>0</v>
      </c>
      <c r="BQ102" s="6"/>
      <c r="BR102" s="6">
        <v>0</v>
      </c>
      <c r="BS102" s="6"/>
      <c r="BT102" s="6">
        <f t="shared" si="29"/>
        <v>0</v>
      </c>
      <c r="BV102" s="6">
        <f t="shared" si="30"/>
        <v>0</v>
      </c>
      <c r="BX102" s="6">
        <f t="shared" si="31"/>
        <v>0</v>
      </c>
      <c r="BY102" s="6"/>
    </row>
    <row r="103" spans="1:77">
      <c r="A103" s="17"/>
      <c r="B103" s="17" t="s">
        <v>232</v>
      </c>
      <c r="C103"/>
      <c r="D103"/>
      <c r="E103"/>
      <c r="F103"/>
      <c r="G103"/>
      <c r="H103"/>
      <c r="I103"/>
      <c r="J103" s="49" t="s">
        <v>236</v>
      </c>
      <c r="K103"/>
      <c r="L103" s="132" t="s">
        <v>202</v>
      </c>
      <c r="M103" s="6"/>
      <c r="N103" s="12">
        <v>0</v>
      </c>
      <c r="O103" s="12"/>
      <c r="P103" s="12">
        <v>0</v>
      </c>
      <c r="Q103" s="12"/>
      <c r="R103" s="6">
        <f>+N103+P103</f>
        <v>0</v>
      </c>
      <c r="S103" s="12"/>
      <c r="T103" s="12">
        <v>0</v>
      </c>
      <c r="U103" s="80"/>
      <c r="V103" s="12">
        <v>0</v>
      </c>
      <c r="W103" s="80"/>
      <c r="X103" s="12">
        <v>0</v>
      </c>
      <c r="Y103" s="80"/>
      <c r="Z103" s="12">
        <v>0</v>
      </c>
      <c r="AA103" s="80"/>
      <c r="AB103" s="12">
        <v>0</v>
      </c>
      <c r="AC103" s="80"/>
      <c r="AD103" s="12">
        <v>0</v>
      </c>
      <c r="AE103" s="80"/>
      <c r="AF103" s="12">
        <v>0</v>
      </c>
      <c r="AG103" s="80"/>
      <c r="AH103" s="12">
        <v>0</v>
      </c>
      <c r="AI103" s="80"/>
      <c r="AJ103" s="12">
        <v>0</v>
      </c>
      <c r="AK103" s="80"/>
      <c r="AL103" s="12"/>
      <c r="AM103" s="80"/>
      <c r="AN103" s="12">
        <v>0</v>
      </c>
      <c r="AO103" s="80"/>
      <c r="AP103" s="12">
        <v>0</v>
      </c>
      <c r="AQ103" s="80"/>
      <c r="AR103" s="12">
        <v>0</v>
      </c>
      <c r="AS103" s="80"/>
      <c r="AT103" s="12">
        <v>0</v>
      </c>
      <c r="AU103" s="80"/>
      <c r="AV103" s="12">
        <v>0</v>
      </c>
      <c r="AW103" s="12"/>
      <c r="AX103" s="12">
        <v>0</v>
      </c>
      <c r="AY103" s="12"/>
      <c r="AZ103" s="12">
        <v>0</v>
      </c>
      <c r="BA103" s="12"/>
      <c r="BB103" s="12">
        <v>0</v>
      </c>
      <c r="BD103" s="12">
        <v>0</v>
      </c>
      <c r="BF103" s="12">
        <v>0</v>
      </c>
      <c r="BG103" s="12"/>
      <c r="BH103" s="12">
        <v>0</v>
      </c>
      <c r="BI103" s="12"/>
      <c r="BJ103" s="12">
        <v>0</v>
      </c>
      <c r="BK103" s="12"/>
      <c r="BL103" s="12">
        <v>0</v>
      </c>
      <c r="BM103" s="12"/>
      <c r="BN103" s="12">
        <v>0</v>
      </c>
      <c r="BO103" s="12"/>
      <c r="BP103" s="12">
        <f t="shared" si="28"/>
        <v>0</v>
      </c>
      <c r="BQ103" s="6"/>
      <c r="BR103" s="12">
        <v>0</v>
      </c>
      <c r="BS103" s="6"/>
      <c r="BT103" s="6">
        <f t="shared" si="29"/>
        <v>0</v>
      </c>
      <c r="BU103" s="12"/>
      <c r="BV103" s="6">
        <f t="shared" si="30"/>
        <v>0</v>
      </c>
      <c r="BW103" s="12"/>
      <c r="BX103" s="6">
        <f t="shared" si="31"/>
        <v>0</v>
      </c>
      <c r="BY103" s="12"/>
    </row>
    <row r="104" spans="1:77" s="11" customFormat="1">
      <c r="A104" s="17"/>
      <c r="B104" s="17" t="s">
        <v>233</v>
      </c>
      <c r="C104" s="30"/>
      <c r="D104" s="30"/>
      <c r="E104" s="30"/>
      <c r="F104" s="30"/>
      <c r="G104" s="30"/>
      <c r="H104" s="30"/>
      <c r="I104" s="30"/>
      <c r="J104" s="153" t="s">
        <v>236</v>
      </c>
      <c r="K104" s="30"/>
      <c r="L104" s="132" t="s">
        <v>202</v>
      </c>
      <c r="M104" s="12"/>
      <c r="N104" s="12">
        <v>0</v>
      </c>
      <c r="O104" s="12"/>
      <c r="P104" s="12">
        <v>0</v>
      </c>
      <c r="Q104" s="12"/>
      <c r="R104" s="6">
        <f>+N104+P104</f>
        <v>0</v>
      </c>
      <c r="S104" s="12"/>
      <c r="T104" s="12">
        <v>0</v>
      </c>
      <c r="U104" s="80"/>
      <c r="V104" s="12">
        <v>0</v>
      </c>
      <c r="W104" s="80"/>
      <c r="X104" s="12">
        <v>0</v>
      </c>
      <c r="Y104" s="80"/>
      <c r="Z104" s="12">
        <v>0</v>
      </c>
      <c r="AA104" s="80"/>
      <c r="AB104" s="12">
        <v>0</v>
      </c>
      <c r="AC104" s="80"/>
      <c r="AD104" s="12">
        <v>0</v>
      </c>
      <c r="AE104" s="80"/>
      <c r="AF104" s="12">
        <v>0</v>
      </c>
      <c r="AG104" s="80"/>
      <c r="AH104" s="12">
        <v>0</v>
      </c>
      <c r="AI104" s="80"/>
      <c r="AJ104" s="12">
        <v>0</v>
      </c>
      <c r="AK104" s="80"/>
      <c r="AL104" s="12"/>
      <c r="AM104" s="80"/>
      <c r="AN104" s="12">
        <v>0</v>
      </c>
      <c r="AO104" s="80"/>
      <c r="AP104" s="12">
        <v>0</v>
      </c>
      <c r="AQ104" s="80"/>
      <c r="AR104" s="12">
        <v>0</v>
      </c>
      <c r="AS104" s="80"/>
      <c r="AT104" s="12">
        <v>0</v>
      </c>
      <c r="AU104" s="80"/>
      <c r="AV104" s="12">
        <v>0</v>
      </c>
      <c r="AW104" s="12"/>
      <c r="AX104" s="12">
        <v>0</v>
      </c>
      <c r="AY104" s="12"/>
      <c r="AZ104" s="12">
        <v>0</v>
      </c>
      <c r="BA104" s="12"/>
      <c r="BB104" s="12">
        <v>0</v>
      </c>
      <c r="BC104"/>
      <c r="BD104" s="12">
        <v>0</v>
      </c>
      <c r="BE104"/>
      <c r="BF104" s="12">
        <v>0</v>
      </c>
      <c r="BG104" s="12"/>
      <c r="BH104" s="12">
        <v>0</v>
      </c>
      <c r="BI104" s="12"/>
      <c r="BJ104" s="12">
        <v>0</v>
      </c>
      <c r="BK104" s="12"/>
      <c r="BL104" s="12">
        <v>0</v>
      </c>
      <c r="BM104" s="12"/>
      <c r="BN104" s="12">
        <v>0</v>
      </c>
      <c r="BO104" s="12"/>
      <c r="BP104" s="12">
        <f t="shared" si="28"/>
        <v>0</v>
      </c>
      <c r="BQ104" s="12"/>
      <c r="BR104" s="12">
        <v>0</v>
      </c>
      <c r="BS104" s="12"/>
      <c r="BT104" s="6">
        <f t="shared" si="29"/>
        <v>0</v>
      </c>
      <c r="BU104" s="12"/>
      <c r="BV104" s="6">
        <f t="shared" si="30"/>
        <v>0</v>
      </c>
      <c r="BW104" s="12"/>
      <c r="BX104" s="6">
        <f t="shared" si="31"/>
        <v>0</v>
      </c>
      <c r="BY104" s="12"/>
    </row>
    <row r="105" spans="1:77">
      <c r="A105" s="17"/>
      <c r="C105"/>
      <c r="D105"/>
      <c r="E105"/>
      <c r="F105"/>
      <c r="G105"/>
      <c r="H105"/>
      <c r="I105"/>
      <c r="J105" s="49"/>
      <c r="K105"/>
      <c r="L105" s="132" t="s">
        <v>202</v>
      </c>
      <c r="M105" s="6"/>
      <c r="N105" s="12">
        <v>0</v>
      </c>
      <c r="O105" s="12"/>
      <c r="P105" s="12">
        <v>0</v>
      </c>
      <c r="Q105" s="12"/>
      <c r="R105" s="6">
        <f>+N105+P105</f>
        <v>0</v>
      </c>
      <c r="S105" s="12"/>
      <c r="T105" s="12">
        <v>0</v>
      </c>
      <c r="U105" s="80"/>
      <c r="V105" s="12">
        <v>0</v>
      </c>
      <c r="W105" s="80"/>
      <c r="X105" s="12">
        <v>0</v>
      </c>
      <c r="Y105" s="80"/>
      <c r="Z105" s="12">
        <v>0</v>
      </c>
      <c r="AA105" s="80"/>
      <c r="AB105" s="12">
        <v>0</v>
      </c>
      <c r="AC105" s="80"/>
      <c r="AD105" s="12">
        <v>0</v>
      </c>
      <c r="AE105" s="80"/>
      <c r="AF105" s="12">
        <v>0</v>
      </c>
      <c r="AG105" s="80"/>
      <c r="AH105" s="12">
        <v>0</v>
      </c>
      <c r="AI105" s="80"/>
      <c r="AJ105" s="12">
        <v>0</v>
      </c>
      <c r="AK105" s="80"/>
      <c r="AL105" s="12"/>
      <c r="AM105" s="80"/>
      <c r="AN105" s="12">
        <v>0</v>
      </c>
      <c r="AO105" s="80"/>
      <c r="AP105" s="12">
        <v>0</v>
      </c>
      <c r="AQ105" s="80"/>
      <c r="AR105" s="12">
        <v>0</v>
      </c>
      <c r="AS105" s="80"/>
      <c r="AT105" s="12"/>
      <c r="AU105" s="80"/>
      <c r="AV105" s="12">
        <v>0</v>
      </c>
      <c r="AW105" s="12"/>
      <c r="AX105" s="12">
        <v>0</v>
      </c>
      <c r="AY105" s="12"/>
      <c r="AZ105" s="12">
        <v>0</v>
      </c>
      <c r="BA105" s="12"/>
      <c r="BB105" s="12">
        <v>0</v>
      </c>
      <c r="BD105" s="12">
        <v>0</v>
      </c>
      <c r="BF105" s="12">
        <v>0</v>
      </c>
      <c r="BG105" s="12"/>
      <c r="BH105" s="12">
        <v>0</v>
      </c>
      <c r="BI105" s="12"/>
      <c r="BJ105" s="12">
        <v>0</v>
      </c>
      <c r="BK105" s="12"/>
      <c r="BL105" s="12">
        <v>0</v>
      </c>
      <c r="BM105" s="12"/>
      <c r="BN105" s="12">
        <v>0</v>
      </c>
      <c r="BO105" s="12"/>
      <c r="BP105" s="12">
        <f t="shared" si="28"/>
        <v>0</v>
      </c>
      <c r="BQ105" s="6"/>
      <c r="BR105" s="12">
        <v>0</v>
      </c>
      <c r="BS105" s="6"/>
      <c r="BT105" s="6">
        <v>0</v>
      </c>
      <c r="BU105" s="12"/>
      <c r="BV105" s="9">
        <f t="shared" si="30"/>
        <v>0</v>
      </c>
      <c r="BW105" s="12"/>
      <c r="BX105" s="6">
        <f t="shared" si="31"/>
        <v>0</v>
      </c>
      <c r="BY105" s="12"/>
    </row>
    <row r="106" spans="1:77">
      <c r="A106" s="17"/>
      <c r="B106" s="17"/>
      <c r="C106"/>
      <c r="D106"/>
      <c r="E106"/>
      <c r="F106"/>
      <c r="G106"/>
      <c r="H106"/>
      <c r="I106"/>
      <c r="J106" s="49"/>
      <c r="K106"/>
      <c r="L106" s="132"/>
      <c r="M106" s="6"/>
      <c r="N106" s="12"/>
      <c r="O106" s="12"/>
      <c r="P106" s="12"/>
      <c r="Q106" s="12"/>
      <c r="R106" s="12"/>
      <c r="S106" s="12"/>
      <c r="T106" s="12"/>
      <c r="U106" s="80"/>
      <c r="V106" s="12"/>
      <c r="W106" s="80"/>
      <c r="X106" s="12"/>
      <c r="Y106" s="80"/>
      <c r="Z106" s="12"/>
      <c r="AA106" s="80"/>
      <c r="AB106" s="12"/>
      <c r="AC106" s="80"/>
      <c r="AD106" s="12"/>
      <c r="AE106" s="80"/>
      <c r="AF106" s="12"/>
      <c r="AG106" s="80"/>
      <c r="AH106" s="12"/>
      <c r="AI106" s="80"/>
      <c r="AJ106" s="12"/>
      <c r="AK106" s="80"/>
      <c r="AL106" s="12"/>
      <c r="AM106" s="80"/>
      <c r="AN106" s="12"/>
      <c r="AO106" s="80"/>
      <c r="AP106" s="12"/>
      <c r="AQ106" s="80"/>
      <c r="AR106" s="12"/>
      <c r="AS106" s="80"/>
      <c r="AT106" s="12"/>
      <c r="AU106" s="80"/>
      <c r="AV106" s="12"/>
      <c r="AW106" s="12"/>
      <c r="AX106" s="12"/>
      <c r="AY106" s="12"/>
      <c r="AZ106" s="12"/>
      <c r="BA106" s="12"/>
      <c r="BB106" s="12"/>
      <c r="BD106" s="12"/>
      <c r="BF106" s="12"/>
      <c r="BG106" s="12"/>
      <c r="BH106" s="12"/>
      <c r="BI106" s="12"/>
      <c r="BJ106" s="12"/>
      <c r="BK106" s="12"/>
      <c r="BL106" s="12"/>
      <c r="BM106" s="12"/>
      <c r="BN106" s="12"/>
      <c r="BO106" s="12"/>
      <c r="BP106" s="12"/>
      <c r="BQ106" s="6"/>
      <c r="BR106" s="12"/>
      <c r="BS106" s="6"/>
      <c r="BT106" s="6">
        <f t="shared" si="29"/>
        <v>0</v>
      </c>
      <c r="BU106" s="12"/>
      <c r="BV106" s="12"/>
      <c r="BW106" s="12"/>
      <c r="BX106" s="12"/>
      <c r="BY106" s="12"/>
    </row>
    <row r="107" spans="1:77" s="114" customFormat="1">
      <c r="A107" s="282"/>
      <c r="B107" s="113" t="s">
        <v>244</v>
      </c>
      <c r="J107" s="154"/>
      <c r="L107" s="140"/>
      <c r="M107" s="115"/>
      <c r="N107" s="116">
        <f>SUM(N100:N106)</f>
        <v>0</v>
      </c>
      <c r="O107" s="115"/>
      <c r="P107" s="116">
        <f>SUM(P100:P106)</f>
        <v>0</v>
      </c>
      <c r="Q107" s="115"/>
      <c r="R107" s="116">
        <f>SUM(R100:R106)</f>
        <v>3770500</v>
      </c>
      <c r="S107" s="115"/>
      <c r="T107" s="116">
        <f>SUM(T100:T106)</f>
        <v>0</v>
      </c>
      <c r="U107" s="115"/>
      <c r="V107" s="116">
        <f>SUM(V100:V106)</f>
        <v>0</v>
      </c>
      <c r="W107" s="115"/>
      <c r="X107" s="116">
        <f>SUM(X100:X106)</f>
        <v>0</v>
      </c>
      <c r="Y107" s="115"/>
      <c r="Z107" s="116">
        <f>SUM(Z100:Z106)</f>
        <v>0</v>
      </c>
      <c r="AA107" s="115"/>
      <c r="AB107" s="116">
        <f>SUM(AB100:AB106)</f>
        <v>0</v>
      </c>
      <c r="AC107" s="115"/>
      <c r="AD107" s="116">
        <f>SUM(AD100:AD106)</f>
        <v>0</v>
      </c>
      <c r="AE107" s="115"/>
      <c r="AF107" s="116">
        <f>SUM(AF100:AF106)</f>
        <v>0</v>
      </c>
      <c r="AG107" s="115"/>
      <c r="AH107" s="116">
        <f>SUM(AH100:AH106)</f>
        <v>0</v>
      </c>
      <c r="AI107" s="115"/>
      <c r="AJ107" s="116">
        <f>SUM(AJ100:AJ106)</f>
        <v>0</v>
      </c>
      <c r="AK107" s="115"/>
      <c r="AL107" s="116">
        <f>SUM(AL100:AL106)</f>
        <v>942622</v>
      </c>
      <c r="AM107" s="116"/>
      <c r="AN107" s="116">
        <f>SUM(AN100:AN106)</f>
        <v>0</v>
      </c>
      <c r="AO107" s="115"/>
      <c r="AP107" s="116">
        <f>SUM(AP100:AP106)</f>
        <v>314205.67</v>
      </c>
      <c r="AQ107" s="115"/>
      <c r="AR107" s="116">
        <f>SUM(AR100:AR106)</f>
        <v>314205.65999999997</v>
      </c>
      <c r="AS107" s="115"/>
      <c r="AT107" s="116">
        <f>SUM(AT100:AT106)</f>
        <v>314205.33</v>
      </c>
      <c r="AU107" s="115"/>
      <c r="AV107" s="116">
        <f>SUM(AV100:AV106)</f>
        <v>314205.33999999997</v>
      </c>
      <c r="AW107" s="117"/>
      <c r="AX107" s="116">
        <f>SUM(AX100:AX106)</f>
        <v>314205.33999999997</v>
      </c>
      <c r="AY107" s="117"/>
      <c r="AZ107" s="116">
        <f>SUM(AZ100:AZ106)</f>
        <v>314205.33</v>
      </c>
      <c r="BA107" s="117"/>
      <c r="BB107" s="116">
        <f>SUM(BB100:BB106)</f>
        <v>314205</v>
      </c>
      <c r="BC107"/>
      <c r="BD107" s="116">
        <f>SUM(BD100:BD106)</f>
        <v>314205.33</v>
      </c>
      <c r="BE107"/>
      <c r="BF107" s="116">
        <f>SUM(BF100:BF106)</f>
        <v>314205.33</v>
      </c>
      <c r="BG107" s="117"/>
      <c r="BH107" s="116">
        <f>SUM(BH100:BH106)</f>
        <v>0</v>
      </c>
      <c r="BI107" s="117"/>
      <c r="BJ107" s="116">
        <f>SUM(BJ100:BJ106)</f>
        <v>0</v>
      </c>
      <c r="BK107" s="117"/>
      <c r="BL107" s="116">
        <f>SUM(BL100:BL106)</f>
        <v>13837</v>
      </c>
      <c r="BM107" s="115"/>
      <c r="BN107" s="116">
        <f>SUM(BN100:BN106)</f>
        <v>0</v>
      </c>
      <c r="BO107" s="115"/>
      <c r="BP107" s="116">
        <f>SUM(BP100:BP106)</f>
        <v>3784307.33</v>
      </c>
      <c r="BQ107" s="115"/>
      <c r="BR107" s="116">
        <f>SUM(BR100:BR106)</f>
        <v>-29</v>
      </c>
      <c r="BS107" s="115"/>
      <c r="BT107" s="116">
        <f>SUM(BT100:BT106)</f>
        <v>0.33999999985098839</v>
      </c>
      <c r="BU107" s="115"/>
      <c r="BV107" s="116">
        <f>SUM(BV100:BV106)</f>
        <v>3784307.67</v>
      </c>
      <c r="BW107" s="115"/>
      <c r="BX107" s="116">
        <f>SUM(BX100:BX106)</f>
        <v>-13807.669999999809</v>
      </c>
      <c r="BY107" s="117"/>
    </row>
    <row r="108" spans="1:77" customFormat="1">
      <c r="A108" s="30"/>
    </row>
    <row r="109" spans="1:77" s="15" customFormat="1">
      <c r="A109" s="77" t="s">
        <v>242</v>
      </c>
      <c r="B109" s="17"/>
      <c r="C109"/>
      <c r="D109"/>
      <c r="E109"/>
      <c r="F109"/>
      <c r="G109"/>
      <c r="H109"/>
      <c r="I109"/>
      <c r="J109" s="49"/>
      <c r="K109"/>
      <c r="L109" s="132" t="s">
        <v>202</v>
      </c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/>
      <c r="BD109" s="22"/>
      <c r="BE109"/>
      <c r="BF109" s="22"/>
      <c r="BG109" s="22"/>
      <c r="BH109" s="22"/>
      <c r="BI109" s="22"/>
      <c r="BJ109" s="22"/>
      <c r="BK109" s="22"/>
      <c r="BL109" s="22"/>
      <c r="BM109" s="22"/>
      <c r="BN109" s="22"/>
      <c r="BO109" s="22"/>
      <c r="BP109" s="22"/>
      <c r="BQ109" s="22"/>
      <c r="BR109" s="22"/>
      <c r="BS109" s="22"/>
      <c r="BT109" s="22"/>
      <c r="BU109" s="22"/>
      <c r="BV109" s="22"/>
      <c r="BW109" s="22"/>
      <c r="BX109" s="22"/>
      <c r="BY109" s="22"/>
    </row>
    <row r="110" spans="1:77" s="15" customFormat="1">
      <c r="A110" s="100"/>
      <c r="B110" s="17" t="s">
        <v>121</v>
      </c>
      <c r="C110"/>
      <c r="D110"/>
      <c r="E110"/>
      <c r="F110"/>
      <c r="G110"/>
      <c r="H110"/>
      <c r="I110"/>
      <c r="J110" s="49" t="s">
        <v>0</v>
      </c>
      <c r="K110"/>
      <c r="L110" s="132" t="s">
        <v>202</v>
      </c>
      <c r="M110" s="22"/>
      <c r="N110" s="80">
        <v>0</v>
      </c>
      <c r="O110" s="22"/>
      <c r="P110" s="80">
        <v>0</v>
      </c>
      <c r="Q110" s="22"/>
      <c r="R110" s="6">
        <f>+N110+P110</f>
        <v>0</v>
      </c>
      <c r="S110" s="22"/>
      <c r="T110" s="80">
        <v>0</v>
      </c>
      <c r="U110" s="80"/>
      <c r="V110" s="80">
        <v>0</v>
      </c>
      <c r="W110" s="80"/>
      <c r="X110" s="80">
        <v>0</v>
      </c>
      <c r="Y110" s="80"/>
      <c r="Z110" s="80">
        <v>0</v>
      </c>
      <c r="AA110" s="80"/>
      <c r="AB110" s="80">
        <v>0</v>
      </c>
      <c r="AC110" s="80"/>
      <c r="AD110" s="80">
        <v>0</v>
      </c>
      <c r="AE110" s="80"/>
      <c r="AF110" s="80">
        <v>0</v>
      </c>
      <c r="AG110" s="80"/>
      <c r="AH110" s="80">
        <v>0</v>
      </c>
      <c r="AI110" s="80"/>
      <c r="AJ110" s="80">
        <v>0</v>
      </c>
      <c r="AK110" s="80"/>
      <c r="AL110" s="80"/>
      <c r="AM110" s="80"/>
      <c r="AN110" s="80">
        <v>0</v>
      </c>
      <c r="AO110" s="80"/>
      <c r="AP110" s="80">
        <v>0</v>
      </c>
      <c r="AQ110" s="80"/>
      <c r="AR110" s="80">
        <v>0</v>
      </c>
      <c r="AS110" s="80"/>
      <c r="AT110" s="80">
        <v>0</v>
      </c>
      <c r="AU110" s="80"/>
      <c r="AV110" s="80">
        <v>0</v>
      </c>
      <c r="AW110" s="80"/>
      <c r="AX110" s="80">
        <v>0</v>
      </c>
      <c r="AY110" s="80"/>
      <c r="AZ110" s="80">
        <v>0</v>
      </c>
      <c r="BA110" s="80"/>
      <c r="BB110" s="80">
        <v>0</v>
      </c>
      <c r="BC110"/>
      <c r="BD110" s="80">
        <v>0</v>
      </c>
      <c r="BE110"/>
      <c r="BF110" s="80">
        <v>0</v>
      </c>
      <c r="BG110" s="80"/>
      <c r="BH110" s="80">
        <v>0</v>
      </c>
      <c r="BI110" s="80"/>
      <c r="BJ110" s="80">
        <v>0</v>
      </c>
      <c r="BK110" s="80"/>
      <c r="BL110" s="80">
        <v>0</v>
      </c>
      <c r="BM110" s="22"/>
      <c r="BN110" s="80">
        <v>0</v>
      </c>
      <c r="BO110" s="22"/>
      <c r="BP110" s="80">
        <f>SUM(T110:BO110)</f>
        <v>0</v>
      </c>
      <c r="BQ110" s="22"/>
      <c r="BR110" s="80">
        <v>0</v>
      </c>
      <c r="BS110" s="22"/>
      <c r="BT110" s="6">
        <f>IF(+R110-BP110+BR110&gt;0,R110-BP110+BR110,0)</f>
        <v>0</v>
      </c>
      <c r="BU110" s="22"/>
      <c r="BV110" s="6">
        <f>+BP110+BT110</f>
        <v>0</v>
      </c>
      <c r="BW110" s="22"/>
      <c r="BX110" s="6">
        <f>+R110-BV110</f>
        <v>0</v>
      </c>
      <c r="BY110" s="80"/>
    </row>
    <row r="111" spans="1:77" s="15" customFormat="1">
      <c r="A111" s="100"/>
      <c r="B111" s="17"/>
      <c r="C111"/>
      <c r="D111"/>
      <c r="E111"/>
      <c r="F111"/>
      <c r="G111"/>
      <c r="H111"/>
      <c r="I111"/>
      <c r="J111" s="49"/>
      <c r="K111"/>
      <c r="L111" s="132"/>
      <c r="M111" s="22"/>
      <c r="N111" s="80"/>
      <c r="O111" s="22"/>
      <c r="P111" s="80"/>
      <c r="Q111" s="22"/>
      <c r="R111" s="80"/>
      <c r="S111" s="22"/>
      <c r="T111" s="80"/>
      <c r="U111" s="80"/>
      <c r="V111" s="80"/>
      <c r="W111" s="80"/>
      <c r="X111" s="80"/>
      <c r="Y111" s="80"/>
      <c r="Z111" s="80"/>
      <c r="AA111" s="80"/>
      <c r="AB111" s="80"/>
      <c r="AC111" s="80"/>
      <c r="AD111" s="80"/>
      <c r="AE111" s="80"/>
      <c r="AF111" s="80"/>
      <c r="AG111" s="80"/>
      <c r="AH111" s="80"/>
      <c r="AI111" s="80"/>
      <c r="AJ111" s="80"/>
      <c r="AK111" s="80"/>
      <c r="AL111" s="80"/>
      <c r="AM111" s="80"/>
      <c r="AN111" s="80"/>
      <c r="AO111" s="80"/>
      <c r="AP111" s="80"/>
      <c r="AQ111" s="80"/>
      <c r="AR111" s="80"/>
      <c r="AS111" s="80"/>
      <c r="AT111" s="80"/>
      <c r="AU111" s="80"/>
      <c r="AV111" s="80"/>
      <c r="AW111" s="80"/>
      <c r="AX111" s="80"/>
      <c r="AY111" s="80"/>
      <c r="AZ111" s="80"/>
      <c r="BA111" s="80"/>
      <c r="BB111" s="80"/>
      <c r="BC111"/>
      <c r="BD111" s="80"/>
      <c r="BE111"/>
      <c r="BF111" s="80"/>
      <c r="BG111" s="80"/>
      <c r="BH111" s="80"/>
      <c r="BI111" s="80"/>
      <c r="BJ111" s="80"/>
      <c r="BK111" s="80"/>
      <c r="BL111" s="80"/>
      <c r="BM111" s="22"/>
      <c r="BN111" s="80"/>
      <c r="BO111" s="22"/>
      <c r="BP111" s="80"/>
      <c r="BQ111" s="22"/>
      <c r="BR111" s="80"/>
      <c r="BS111" s="22"/>
      <c r="BT111" s="80"/>
      <c r="BU111" s="22"/>
      <c r="BV111" s="80"/>
      <c r="BW111" s="22"/>
      <c r="BX111" s="80"/>
      <c r="BY111" s="80"/>
    </row>
    <row r="112" spans="1:77" s="104" customFormat="1">
      <c r="A112" s="32"/>
      <c r="B112" s="77" t="s">
        <v>245</v>
      </c>
      <c r="C112" s="21"/>
      <c r="D112" s="21"/>
      <c r="E112" s="21"/>
      <c r="F112" s="21"/>
      <c r="G112" s="21"/>
      <c r="H112" s="21"/>
      <c r="I112" s="21"/>
      <c r="J112" s="8"/>
      <c r="K112" s="21"/>
      <c r="L112" s="141"/>
      <c r="M112" s="16"/>
      <c r="N112" s="108">
        <f>SUM(N110:N111)</f>
        <v>0</v>
      </c>
      <c r="O112" s="16"/>
      <c r="P112" s="108">
        <f>SUM(P110:P111)</f>
        <v>0</v>
      </c>
      <c r="Q112" s="16"/>
      <c r="R112" s="108">
        <f>SUM(R110:R111)</f>
        <v>0</v>
      </c>
      <c r="S112" s="16"/>
      <c r="T112" s="108">
        <f>SUM(T110:T111)</f>
        <v>0</v>
      </c>
      <c r="U112" s="16"/>
      <c r="V112" s="108">
        <f>SUM(V110:V111)</f>
        <v>0</v>
      </c>
      <c r="W112" s="16"/>
      <c r="X112" s="108">
        <f>SUM(X110:X111)</f>
        <v>0</v>
      </c>
      <c r="Y112" s="16"/>
      <c r="Z112" s="108">
        <f>SUM(Z110:Z111)</f>
        <v>0</v>
      </c>
      <c r="AA112" s="16"/>
      <c r="AB112" s="108">
        <f>SUM(AB110:AB111)</f>
        <v>0</v>
      </c>
      <c r="AC112" s="16"/>
      <c r="AD112" s="108">
        <f>SUM(AD110:AD111)</f>
        <v>0</v>
      </c>
      <c r="AE112" s="16"/>
      <c r="AF112" s="108">
        <f>SUM(AF110:AF111)</f>
        <v>0</v>
      </c>
      <c r="AG112" s="16"/>
      <c r="AH112" s="108">
        <f>SUM(AH110:AH111)</f>
        <v>0</v>
      </c>
      <c r="AI112" s="16"/>
      <c r="AJ112" s="108">
        <f>SUM(AJ110:AJ111)</f>
        <v>0</v>
      </c>
      <c r="AK112" s="16"/>
      <c r="AL112" s="108">
        <f>SUM(AL110:AL111)</f>
        <v>0</v>
      </c>
      <c r="AM112" s="108"/>
      <c r="AN112" s="108">
        <f>SUM(AN110:AN111)</f>
        <v>0</v>
      </c>
      <c r="AO112" s="16"/>
      <c r="AP112" s="108">
        <f>SUM(AP110:AP111)</f>
        <v>0</v>
      </c>
      <c r="AQ112" s="16"/>
      <c r="AR112" s="108">
        <f>SUM(AR110:AR111)</f>
        <v>0</v>
      </c>
      <c r="AS112" s="16"/>
      <c r="AT112" s="108">
        <f>SUM(AT110:AT111)</f>
        <v>0</v>
      </c>
      <c r="AU112" s="16"/>
      <c r="AV112" s="108">
        <f>SUM(AV110:AV111)</f>
        <v>0</v>
      </c>
      <c r="AW112" s="103"/>
      <c r="AX112" s="108">
        <f>SUM(AX110:AX111)</f>
        <v>0</v>
      </c>
      <c r="AY112" s="103"/>
      <c r="AZ112" s="108">
        <f>SUM(AZ110:AZ111)</f>
        <v>0</v>
      </c>
      <c r="BA112" s="103"/>
      <c r="BB112" s="108">
        <f>SUM(BB110:BB111)</f>
        <v>0</v>
      </c>
      <c r="BC112"/>
      <c r="BD112" s="108">
        <f>SUM(BD110:BD111)</f>
        <v>0</v>
      </c>
      <c r="BE112"/>
      <c r="BF112" s="108">
        <f>SUM(BF110:BF111)</f>
        <v>0</v>
      </c>
      <c r="BG112" s="103"/>
      <c r="BH112" s="108">
        <f>SUM(BH110:BH111)</f>
        <v>0</v>
      </c>
      <c r="BI112" s="103"/>
      <c r="BJ112" s="108">
        <f>SUM(BJ110:BJ111)</f>
        <v>0</v>
      </c>
      <c r="BK112" s="103"/>
      <c r="BL112" s="108">
        <f>SUM(BL110:BL111)</f>
        <v>0</v>
      </c>
      <c r="BM112" s="16"/>
      <c r="BN112" s="108">
        <f>SUM(BN110:BN111)</f>
        <v>0</v>
      </c>
      <c r="BO112" s="16"/>
      <c r="BP112" s="108">
        <f>SUM(BP110:BP111)</f>
        <v>0</v>
      </c>
      <c r="BQ112" s="16"/>
      <c r="BR112" s="108">
        <f>SUM(BR110:BR111)</f>
        <v>0</v>
      </c>
      <c r="BS112" s="16"/>
      <c r="BT112" s="108">
        <f>SUM(BT110:BT111)</f>
        <v>0</v>
      </c>
      <c r="BU112" s="16"/>
      <c r="BV112" s="108">
        <f>SUM(BV110:BV111)</f>
        <v>0</v>
      </c>
      <c r="BW112" s="16"/>
      <c r="BX112" s="108">
        <f>SUM(BX110:BX111)</f>
        <v>0</v>
      </c>
      <c r="BY112" s="16"/>
    </row>
    <row r="113" spans="1:77" s="15" customFormat="1">
      <c r="A113" s="100"/>
      <c r="B113" s="17"/>
      <c r="C113"/>
      <c r="D113"/>
      <c r="E113"/>
      <c r="F113"/>
      <c r="G113"/>
      <c r="H113"/>
      <c r="I113"/>
      <c r="J113" s="49"/>
      <c r="K113"/>
      <c r="L113" s="13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/>
      <c r="BD113" s="22"/>
      <c r="BE113"/>
      <c r="BF113" s="22"/>
      <c r="BG113" s="22"/>
      <c r="BH113" s="22"/>
      <c r="BI113" s="22"/>
      <c r="BJ113" s="22"/>
      <c r="BK113" s="22"/>
      <c r="BL113" s="22"/>
      <c r="BM113" s="22"/>
      <c r="BN113" s="22"/>
      <c r="BO113" s="22"/>
      <c r="BP113" s="22"/>
      <c r="BQ113" s="22"/>
      <c r="BR113" s="22"/>
      <c r="BS113" s="22"/>
      <c r="BT113" s="22"/>
      <c r="BU113" s="22"/>
      <c r="BV113" s="22"/>
      <c r="BW113" s="22"/>
      <c r="BX113" s="22"/>
      <c r="BY113" s="22"/>
    </row>
    <row r="114" spans="1:77" s="105" customFormat="1">
      <c r="A114" s="238" t="s">
        <v>246</v>
      </c>
      <c r="B114" s="63"/>
      <c r="J114" s="155"/>
      <c r="L114" s="142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  <c r="AS114" s="13"/>
      <c r="AT114" s="13"/>
      <c r="AU114" s="13"/>
      <c r="AV114" s="13"/>
      <c r="AW114" s="13"/>
      <c r="AX114" s="13"/>
      <c r="AY114" s="13"/>
      <c r="AZ114" s="13"/>
      <c r="BA114" s="13"/>
      <c r="BB114" s="13"/>
      <c r="BC114"/>
      <c r="BD114" s="13"/>
      <c r="BE114"/>
      <c r="BF114" s="13"/>
      <c r="BG114" s="13"/>
      <c r="BH114" s="13"/>
      <c r="BI114" s="13"/>
      <c r="BJ114" s="13"/>
      <c r="BK114" s="13"/>
      <c r="BL114" s="13"/>
      <c r="BM114" s="13"/>
      <c r="BN114" s="13"/>
      <c r="BO114" s="13"/>
      <c r="BP114" s="13"/>
      <c r="BQ114" s="13"/>
      <c r="BR114" s="13"/>
      <c r="BS114" s="13"/>
      <c r="BT114" s="13"/>
      <c r="BU114" s="13"/>
      <c r="BV114" s="13"/>
      <c r="BW114" s="13"/>
      <c r="BX114" s="13"/>
      <c r="BY114" s="13"/>
    </row>
    <row r="115" spans="1:77" s="15" customFormat="1" hidden="1">
      <c r="A115" s="77" t="s">
        <v>22</v>
      </c>
      <c r="B115" s="17"/>
      <c r="C115"/>
      <c r="D115"/>
      <c r="E115"/>
      <c r="F115"/>
      <c r="G115"/>
      <c r="H115"/>
      <c r="I115"/>
      <c r="J115" s="49"/>
      <c r="K115"/>
      <c r="L115" s="13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/>
      <c r="BD115" s="22"/>
      <c r="BE115"/>
      <c r="BF115" s="22"/>
      <c r="BG115" s="22"/>
      <c r="BH115" s="22"/>
      <c r="BI115" s="22"/>
      <c r="BJ115" s="22"/>
      <c r="BK115" s="22"/>
      <c r="BL115" s="22"/>
      <c r="BM115" s="22"/>
      <c r="BN115" s="22"/>
      <c r="BO115" s="22"/>
      <c r="BP115" s="22"/>
      <c r="BQ115" s="22"/>
      <c r="BR115" s="22"/>
      <c r="BS115" s="22"/>
      <c r="BT115" s="22"/>
      <c r="BU115" s="22"/>
      <c r="BV115" s="22"/>
      <c r="BW115" s="22"/>
      <c r="BX115" s="22"/>
      <c r="BY115" s="22"/>
    </row>
    <row r="116" spans="1:77" s="15" customFormat="1" hidden="1">
      <c r="A116" s="77"/>
      <c r="B116" s="17" t="s">
        <v>163</v>
      </c>
      <c r="C116"/>
      <c r="D116"/>
      <c r="E116"/>
      <c r="F116"/>
      <c r="G116"/>
      <c r="H116"/>
      <c r="I116"/>
      <c r="J116" s="49"/>
      <c r="K116"/>
      <c r="L116" s="132" t="s">
        <v>202</v>
      </c>
      <c r="M116" s="22"/>
      <c r="N116" s="22">
        <v>0</v>
      </c>
      <c r="O116" s="22"/>
      <c r="P116" s="22">
        <v>0</v>
      </c>
      <c r="Q116" s="22"/>
      <c r="R116" s="6">
        <f t="shared" ref="R116:R125" si="32">+N116+P116</f>
        <v>0</v>
      </c>
      <c r="S116" s="22"/>
      <c r="T116" s="22">
        <v>0</v>
      </c>
      <c r="U116" s="22"/>
      <c r="V116" s="22">
        <v>0</v>
      </c>
      <c r="W116" s="22"/>
      <c r="X116" s="22">
        <v>0</v>
      </c>
      <c r="Y116" s="22"/>
      <c r="Z116" s="22">
        <v>0</v>
      </c>
      <c r="AA116" s="22"/>
      <c r="AB116" s="22">
        <v>0</v>
      </c>
      <c r="AC116" s="22"/>
      <c r="AD116" s="22">
        <v>0</v>
      </c>
      <c r="AE116" s="22"/>
      <c r="AF116" s="22">
        <v>0</v>
      </c>
      <c r="AG116" s="22"/>
      <c r="AH116" s="22">
        <v>0</v>
      </c>
      <c r="AI116" s="22"/>
      <c r="AJ116" s="22">
        <v>0</v>
      </c>
      <c r="AK116" s="22"/>
      <c r="AL116" s="22"/>
      <c r="AM116" s="22"/>
      <c r="AN116" s="22">
        <v>0</v>
      </c>
      <c r="AO116" s="22"/>
      <c r="AP116" s="22">
        <v>0</v>
      </c>
      <c r="AQ116" s="22"/>
      <c r="AR116" s="22">
        <v>0</v>
      </c>
      <c r="AS116" s="22"/>
      <c r="AT116" s="22">
        <v>0</v>
      </c>
      <c r="AU116" s="22"/>
      <c r="AV116" s="22">
        <v>0</v>
      </c>
      <c r="AW116" s="22"/>
      <c r="AX116" s="22">
        <v>0</v>
      </c>
      <c r="AY116" s="22"/>
      <c r="AZ116" s="22">
        <v>0</v>
      </c>
      <c r="BA116" s="22"/>
      <c r="BB116" s="22">
        <v>0</v>
      </c>
      <c r="BC116"/>
      <c r="BD116" s="22">
        <v>0</v>
      </c>
      <c r="BE116"/>
      <c r="BF116" s="22">
        <v>0</v>
      </c>
      <c r="BG116" s="22"/>
      <c r="BH116" s="22">
        <v>0</v>
      </c>
      <c r="BI116" s="22"/>
      <c r="BJ116" s="22">
        <v>0</v>
      </c>
      <c r="BK116" s="22"/>
      <c r="BL116" s="22">
        <v>0</v>
      </c>
      <c r="BM116" s="22"/>
      <c r="BN116" s="22">
        <v>0</v>
      </c>
      <c r="BO116" s="22"/>
      <c r="BP116" s="22">
        <f t="shared" ref="BP116:BP125" si="33">SUM(T116:BO116)</f>
        <v>0</v>
      </c>
      <c r="BQ116" s="22"/>
      <c r="BR116" s="22">
        <v>0</v>
      </c>
      <c r="BS116" s="22"/>
      <c r="BT116" s="22">
        <f t="shared" ref="BT116:BT125" si="34">+R116-BP116+BR116</f>
        <v>0</v>
      </c>
      <c r="BU116" s="22"/>
      <c r="BV116" s="6">
        <f t="shared" ref="BV116:BV125" si="35">+BP116+BT116</f>
        <v>0</v>
      </c>
      <c r="BW116" s="22"/>
      <c r="BX116" s="6">
        <f t="shared" ref="BX116:BX125" si="36">+R116-BV116</f>
        <v>0</v>
      </c>
      <c r="BY116" s="22"/>
    </row>
    <row r="117" spans="1:77" s="15" customFormat="1" hidden="1">
      <c r="A117" s="77"/>
      <c r="B117" s="17" t="s">
        <v>164</v>
      </c>
      <c r="C117"/>
      <c r="D117"/>
      <c r="E117"/>
      <c r="F117"/>
      <c r="G117"/>
      <c r="H117"/>
      <c r="I117"/>
      <c r="J117" s="49"/>
      <c r="K117"/>
      <c r="L117" s="132" t="s">
        <v>202</v>
      </c>
      <c r="M117" s="22"/>
      <c r="N117" s="22">
        <v>0</v>
      </c>
      <c r="O117" s="22"/>
      <c r="P117" s="22">
        <v>0</v>
      </c>
      <c r="Q117" s="22"/>
      <c r="R117" s="6">
        <f t="shared" si="32"/>
        <v>0</v>
      </c>
      <c r="S117" s="22"/>
      <c r="T117" s="22">
        <v>0</v>
      </c>
      <c r="U117" s="22"/>
      <c r="V117" s="22">
        <v>0</v>
      </c>
      <c r="W117" s="22"/>
      <c r="X117" s="22">
        <v>0</v>
      </c>
      <c r="Y117" s="22"/>
      <c r="Z117" s="22">
        <v>0</v>
      </c>
      <c r="AA117" s="22"/>
      <c r="AB117" s="22">
        <v>0</v>
      </c>
      <c r="AC117" s="22"/>
      <c r="AD117" s="22">
        <v>0</v>
      </c>
      <c r="AE117" s="22"/>
      <c r="AF117" s="22">
        <v>0</v>
      </c>
      <c r="AG117" s="22"/>
      <c r="AH117" s="22">
        <v>0</v>
      </c>
      <c r="AI117" s="22"/>
      <c r="AJ117" s="22">
        <v>0</v>
      </c>
      <c r="AK117" s="22"/>
      <c r="AL117" s="22"/>
      <c r="AM117" s="22"/>
      <c r="AN117" s="22">
        <v>0</v>
      </c>
      <c r="AO117" s="22"/>
      <c r="AP117" s="22">
        <v>0</v>
      </c>
      <c r="AQ117" s="22"/>
      <c r="AR117" s="22">
        <v>0</v>
      </c>
      <c r="AS117" s="22"/>
      <c r="AT117" s="22">
        <v>0</v>
      </c>
      <c r="AU117" s="22"/>
      <c r="AV117" s="22">
        <v>0</v>
      </c>
      <c r="AW117" s="22"/>
      <c r="AX117" s="22">
        <v>0</v>
      </c>
      <c r="AY117" s="22"/>
      <c r="AZ117" s="22">
        <v>0</v>
      </c>
      <c r="BA117" s="22"/>
      <c r="BB117" s="22">
        <v>0</v>
      </c>
      <c r="BC117"/>
      <c r="BD117" s="22">
        <v>0</v>
      </c>
      <c r="BE117"/>
      <c r="BF117" s="22">
        <v>0</v>
      </c>
      <c r="BG117" s="22"/>
      <c r="BH117" s="22">
        <v>0</v>
      </c>
      <c r="BI117" s="22"/>
      <c r="BJ117" s="22">
        <v>0</v>
      </c>
      <c r="BK117" s="22"/>
      <c r="BL117" s="22">
        <v>0</v>
      </c>
      <c r="BM117" s="22"/>
      <c r="BN117" s="22">
        <v>0</v>
      </c>
      <c r="BO117" s="22"/>
      <c r="BP117" s="22">
        <f t="shared" si="33"/>
        <v>0</v>
      </c>
      <c r="BQ117" s="22"/>
      <c r="BR117" s="22">
        <v>0</v>
      </c>
      <c r="BS117" s="22"/>
      <c r="BT117" s="22">
        <f t="shared" si="34"/>
        <v>0</v>
      </c>
      <c r="BU117" s="22"/>
      <c r="BV117" s="6">
        <f t="shared" si="35"/>
        <v>0</v>
      </c>
      <c r="BW117" s="22"/>
      <c r="BX117" s="6">
        <f t="shared" si="36"/>
        <v>0</v>
      </c>
      <c r="BY117" s="22"/>
    </row>
    <row r="118" spans="1:77" s="15" customFormat="1" hidden="1">
      <c r="A118" s="77"/>
      <c r="B118" s="17" t="s">
        <v>165</v>
      </c>
      <c r="C118"/>
      <c r="D118"/>
      <c r="E118"/>
      <c r="F118"/>
      <c r="G118"/>
      <c r="H118"/>
      <c r="I118"/>
      <c r="J118" s="49"/>
      <c r="K118"/>
      <c r="L118" s="132" t="s">
        <v>202</v>
      </c>
      <c r="M118" s="22"/>
      <c r="N118" s="22">
        <v>0</v>
      </c>
      <c r="O118" s="22"/>
      <c r="P118" s="22">
        <v>0</v>
      </c>
      <c r="Q118" s="22"/>
      <c r="R118" s="6">
        <f t="shared" si="32"/>
        <v>0</v>
      </c>
      <c r="S118" s="22"/>
      <c r="T118" s="22">
        <v>0</v>
      </c>
      <c r="U118" s="22"/>
      <c r="V118" s="22">
        <v>0</v>
      </c>
      <c r="W118" s="22"/>
      <c r="X118" s="22">
        <v>0</v>
      </c>
      <c r="Y118" s="22"/>
      <c r="Z118" s="22">
        <v>0</v>
      </c>
      <c r="AA118" s="22"/>
      <c r="AB118" s="22">
        <v>0</v>
      </c>
      <c r="AC118" s="22"/>
      <c r="AD118" s="22">
        <v>0</v>
      </c>
      <c r="AE118" s="22"/>
      <c r="AF118" s="22">
        <v>0</v>
      </c>
      <c r="AG118" s="22"/>
      <c r="AH118" s="22">
        <v>0</v>
      </c>
      <c r="AI118" s="22"/>
      <c r="AJ118" s="22">
        <v>0</v>
      </c>
      <c r="AK118" s="22"/>
      <c r="AL118" s="22"/>
      <c r="AM118" s="22"/>
      <c r="AN118" s="22">
        <v>0</v>
      </c>
      <c r="AO118" s="22"/>
      <c r="AP118" s="22">
        <v>0</v>
      </c>
      <c r="AQ118" s="22"/>
      <c r="AR118" s="22">
        <v>0</v>
      </c>
      <c r="AS118" s="22"/>
      <c r="AT118" s="22">
        <v>0</v>
      </c>
      <c r="AU118" s="22"/>
      <c r="AV118" s="22">
        <v>0</v>
      </c>
      <c r="AW118" s="22"/>
      <c r="AX118" s="22">
        <v>0</v>
      </c>
      <c r="AY118" s="22"/>
      <c r="AZ118" s="22">
        <v>0</v>
      </c>
      <c r="BA118" s="22"/>
      <c r="BB118" s="22">
        <v>0</v>
      </c>
      <c r="BC118"/>
      <c r="BD118" s="22">
        <v>0</v>
      </c>
      <c r="BE118"/>
      <c r="BF118" s="22">
        <v>0</v>
      </c>
      <c r="BG118" s="22"/>
      <c r="BH118" s="22">
        <v>0</v>
      </c>
      <c r="BI118" s="22"/>
      <c r="BJ118" s="22">
        <v>0</v>
      </c>
      <c r="BK118" s="22"/>
      <c r="BL118" s="22">
        <v>0</v>
      </c>
      <c r="BM118" s="22"/>
      <c r="BN118" s="22">
        <v>0</v>
      </c>
      <c r="BO118" s="22"/>
      <c r="BP118" s="22">
        <f t="shared" si="33"/>
        <v>0</v>
      </c>
      <c r="BQ118" s="22"/>
      <c r="BR118" s="22">
        <v>0</v>
      </c>
      <c r="BS118" s="22"/>
      <c r="BT118" s="22">
        <f t="shared" si="34"/>
        <v>0</v>
      </c>
      <c r="BU118" s="22"/>
      <c r="BV118" s="6">
        <f t="shared" si="35"/>
        <v>0</v>
      </c>
      <c r="BW118" s="22"/>
      <c r="BX118" s="6">
        <f t="shared" si="36"/>
        <v>0</v>
      </c>
      <c r="BY118" s="22"/>
    </row>
    <row r="119" spans="1:77" s="15" customFormat="1" hidden="1">
      <c r="A119" s="77"/>
      <c r="B119" s="17" t="s">
        <v>166</v>
      </c>
      <c r="C119"/>
      <c r="D119"/>
      <c r="E119"/>
      <c r="F119"/>
      <c r="G119"/>
      <c r="H119"/>
      <c r="I119"/>
      <c r="J119" s="49"/>
      <c r="K119"/>
      <c r="L119" s="132" t="s">
        <v>202</v>
      </c>
      <c r="M119" s="22"/>
      <c r="N119" s="22">
        <v>0</v>
      </c>
      <c r="O119" s="22"/>
      <c r="P119" s="22">
        <v>0</v>
      </c>
      <c r="Q119" s="22"/>
      <c r="R119" s="6">
        <f t="shared" si="32"/>
        <v>0</v>
      </c>
      <c r="S119" s="22"/>
      <c r="T119" s="22">
        <v>0</v>
      </c>
      <c r="U119" s="22"/>
      <c r="V119" s="22">
        <v>0</v>
      </c>
      <c r="W119" s="22"/>
      <c r="X119" s="22">
        <v>0</v>
      </c>
      <c r="Y119" s="22"/>
      <c r="Z119" s="22">
        <v>0</v>
      </c>
      <c r="AA119" s="22"/>
      <c r="AB119" s="22">
        <v>0</v>
      </c>
      <c r="AC119" s="22"/>
      <c r="AD119" s="22">
        <v>0</v>
      </c>
      <c r="AE119" s="22"/>
      <c r="AF119" s="22">
        <v>0</v>
      </c>
      <c r="AG119" s="22"/>
      <c r="AH119" s="22">
        <v>0</v>
      </c>
      <c r="AI119" s="22"/>
      <c r="AJ119" s="22">
        <v>0</v>
      </c>
      <c r="AK119" s="22"/>
      <c r="AL119" s="22"/>
      <c r="AM119" s="22"/>
      <c r="AN119" s="22">
        <v>0</v>
      </c>
      <c r="AO119" s="22"/>
      <c r="AP119" s="22">
        <v>0</v>
      </c>
      <c r="AQ119" s="22"/>
      <c r="AR119" s="22">
        <v>0</v>
      </c>
      <c r="AS119" s="22"/>
      <c r="AT119" s="22">
        <v>0</v>
      </c>
      <c r="AU119" s="22"/>
      <c r="AV119" s="22">
        <v>0</v>
      </c>
      <c r="AW119" s="22"/>
      <c r="AX119" s="22">
        <v>0</v>
      </c>
      <c r="AY119" s="22"/>
      <c r="AZ119" s="22">
        <v>0</v>
      </c>
      <c r="BA119" s="22"/>
      <c r="BB119" s="22">
        <v>0</v>
      </c>
      <c r="BC119"/>
      <c r="BD119" s="22">
        <v>0</v>
      </c>
      <c r="BE119"/>
      <c r="BF119" s="22">
        <v>0</v>
      </c>
      <c r="BG119" s="22"/>
      <c r="BH119" s="22">
        <v>0</v>
      </c>
      <c r="BI119" s="22"/>
      <c r="BJ119" s="22">
        <v>0</v>
      </c>
      <c r="BK119" s="22"/>
      <c r="BL119" s="22">
        <v>0</v>
      </c>
      <c r="BM119" s="22"/>
      <c r="BN119" s="22">
        <v>0</v>
      </c>
      <c r="BO119" s="22"/>
      <c r="BP119" s="22">
        <f t="shared" si="33"/>
        <v>0</v>
      </c>
      <c r="BQ119" s="22"/>
      <c r="BR119" s="22">
        <v>0</v>
      </c>
      <c r="BS119" s="22"/>
      <c r="BT119" s="22">
        <f t="shared" si="34"/>
        <v>0</v>
      </c>
      <c r="BU119" s="22"/>
      <c r="BV119" s="6">
        <f t="shared" si="35"/>
        <v>0</v>
      </c>
      <c r="BW119" s="22"/>
      <c r="BX119" s="6">
        <f t="shared" si="36"/>
        <v>0</v>
      </c>
      <c r="BY119" s="22"/>
    </row>
    <row r="120" spans="1:77" s="15" customFormat="1" hidden="1">
      <c r="A120" s="77"/>
      <c r="B120" s="17" t="s">
        <v>68</v>
      </c>
      <c r="C120"/>
      <c r="D120"/>
      <c r="E120"/>
      <c r="F120"/>
      <c r="G120"/>
      <c r="H120"/>
      <c r="I120"/>
      <c r="J120" s="49"/>
      <c r="K120"/>
      <c r="L120" s="132" t="s">
        <v>202</v>
      </c>
      <c r="M120" s="22"/>
      <c r="N120" s="22">
        <v>0</v>
      </c>
      <c r="O120" s="22"/>
      <c r="P120" s="22">
        <v>0</v>
      </c>
      <c r="Q120" s="22"/>
      <c r="R120" s="6">
        <f t="shared" si="32"/>
        <v>0</v>
      </c>
      <c r="S120" s="22"/>
      <c r="T120" s="22">
        <v>0</v>
      </c>
      <c r="U120" s="22"/>
      <c r="V120" s="22">
        <v>0</v>
      </c>
      <c r="W120" s="22"/>
      <c r="X120" s="22">
        <v>0</v>
      </c>
      <c r="Y120" s="22"/>
      <c r="Z120" s="22">
        <v>0</v>
      </c>
      <c r="AA120" s="22"/>
      <c r="AB120" s="22">
        <v>0</v>
      </c>
      <c r="AC120" s="22"/>
      <c r="AD120" s="22">
        <v>0</v>
      </c>
      <c r="AE120" s="22"/>
      <c r="AF120" s="22">
        <v>0</v>
      </c>
      <c r="AG120" s="22"/>
      <c r="AH120" s="22">
        <v>0</v>
      </c>
      <c r="AI120" s="22"/>
      <c r="AJ120" s="22">
        <v>0</v>
      </c>
      <c r="AK120" s="22"/>
      <c r="AL120" s="22"/>
      <c r="AM120" s="22"/>
      <c r="AN120" s="22">
        <v>0</v>
      </c>
      <c r="AO120" s="22"/>
      <c r="AP120" s="22">
        <v>0</v>
      </c>
      <c r="AQ120" s="22"/>
      <c r="AR120" s="22">
        <v>0</v>
      </c>
      <c r="AS120" s="22"/>
      <c r="AT120" s="22">
        <v>0</v>
      </c>
      <c r="AU120" s="22"/>
      <c r="AV120" s="22">
        <v>0</v>
      </c>
      <c r="AW120" s="22"/>
      <c r="AX120" s="22">
        <v>0</v>
      </c>
      <c r="AY120" s="22"/>
      <c r="AZ120" s="22">
        <v>0</v>
      </c>
      <c r="BA120" s="22"/>
      <c r="BB120" s="22">
        <v>0</v>
      </c>
      <c r="BC120"/>
      <c r="BD120" s="22">
        <v>0</v>
      </c>
      <c r="BE120"/>
      <c r="BF120" s="22">
        <v>0</v>
      </c>
      <c r="BG120" s="22"/>
      <c r="BH120" s="22">
        <v>0</v>
      </c>
      <c r="BI120" s="22"/>
      <c r="BJ120" s="22">
        <v>0</v>
      </c>
      <c r="BK120" s="22"/>
      <c r="BL120" s="22">
        <v>0</v>
      </c>
      <c r="BM120" s="22"/>
      <c r="BN120" s="22">
        <v>0</v>
      </c>
      <c r="BO120" s="22"/>
      <c r="BP120" s="22">
        <f t="shared" si="33"/>
        <v>0</v>
      </c>
      <c r="BQ120" s="22"/>
      <c r="BR120" s="22">
        <v>0</v>
      </c>
      <c r="BS120" s="22"/>
      <c r="BT120" s="22">
        <f t="shared" si="34"/>
        <v>0</v>
      </c>
      <c r="BU120" s="22"/>
      <c r="BV120" s="6">
        <f t="shared" si="35"/>
        <v>0</v>
      </c>
      <c r="BW120" s="22"/>
      <c r="BX120" s="6">
        <f t="shared" si="36"/>
        <v>0</v>
      </c>
      <c r="BY120" s="22"/>
    </row>
    <row r="121" spans="1:77" s="15" customFormat="1" hidden="1">
      <c r="A121" s="77"/>
      <c r="B121" s="17" t="s">
        <v>69</v>
      </c>
      <c r="C121"/>
      <c r="D121"/>
      <c r="E121"/>
      <c r="F121"/>
      <c r="G121"/>
      <c r="H121"/>
      <c r="I121"/>
      <c r="J121" s="49"/>
      <c r="K121"/>
      <c r="L121" s="132" t="s">
        <v>202</v>
      </c>
      <c r="M121" s="22"/>
      <c r="N121" s="22">
        <v>0</v>
      </c>
      <c r="O121" s="22"/>
      <c r="P121" s="22">
        <v>0</v>
      </c>
      <c r="Q121" s="22"/>
      <c r="R121" s="6">
        <f t="shared" si="32"/>
        <v>0</v>
      </c>
      <c r="S121" s="22"/>
      <c r="T121" s="22">
        <v>0</v>
      </c>
      <c r="U121" s="22"/>
      <c r="V121" s="22">
        <v>0</v>
      </c>
      <c r="W121" s="22"/>
      <c r="X121" s="22">
        <v>0</v>
      </c>
      <c r="Y121" s="22"/>
      <c r="Z121" s="22">
        <v>0</v>
      </c>
      <c r="AA121" s="22"/>
      <c r="AB121" s="22">
        <v>0</v>
      </c>
      <c r="AC121" s="22"/>
      <c r="AD121" s="22">
        <v>0</v>
      </c>
      <c r="AE121" s="22"/>
      <c r="AF121" s="22">
        <v>0</v>
      </c>
      <c r="AG121" s="22"/>
      <c r="AH121" s="22">
        <v>0</v>
      </c>
      <c r="AI121" s="22"/>
      <c r="AJ121" s="22">
        <v>0</v>
      </c>
      <c r="AK121" s="22"/>
      <c r="AL121" s="22"/>
      <c r="AM121" s="22"/>
      <c r="AN121" s="22">
        <v>0</v>
      </c>
      <c r="AO121" s="22"/>
      <c r="AP121" s="22">
        <v>0</v>
      </c>
      <c r="AQ121" s="22"/>
      <c r="AR121" s="22">
        <v>0</v>
      </c>
      <c r="AS121" s="22"/>
      <c r="AT121" s="22">
        <v>0</v>
      </c>
      <c r="AU121" s="22"/>
      <c r="AV121" s="22">
        <v>0</v>
      </c>
      <c r="AW121" s="22"/>
      <c r="AX121" s="22">
        <v>0</v>
      </c>
      <c r="AY121" s="22"/>
      <c r="AZ121" s="22">
        <v>0</v>
      </c>
      <c r="BA121" s="22"/>
      <c r="BB121" s="22">
        <v>0</v>
      </c>
      <c r="BC121"/>
      <c r="BD121" s="22">
        <v>0</v>
      </c>
      <c r="BE121"/>
      <c r="BF121" s="22">
        <v>0</v>
      </c>
      <c r="BG121" s="22"/>
      <c r="BH121" s="22">
        <v>0</v>
      </c>
      <c r="BI121" s="22"/>
      <c r="BJ121" s="22">
        <v>0</v>
      </c>
      <c r="BK121" s="22"/>
      <c r="BL121" s="22">
        <v>0</v>
      </c>
      <c r="BM121" s="22"/>
      <c r="BN121" s="22">
        <v>0</v>
      </c>
      <c r="BO121" s="22"/>
      <c r="BP121" s="22">
        <f t="shared" si="33"/>
        <v>0</v>
      </c>
      <c r="BQ121" s="22"/>
      <c r="BR121" s="22">
        <v>0</v>
      </c>
      <c r="BS121" s="22"/>
      <c r="BT121" s="22">
        <f t="shared" si="34"/>
        <v>0</v>
      </c>
      <c r="BU121" s="22"/>
      <c r="BV121" s="6">
        <f t="shared" si="35"/>
        <v>0</v>
      </c>
      <c r="BW121" s="22"/>
      <c r="BX121" s="6">
        <f t="shared" si="36"/>
        <v>0</v>
      </c>
      <c r="BY121" s="22"/>
    </row>
    <row r="122" spans="1:77" s="15" customFormat="1" hidden="1">
      <c r="A122" s="77"/>
      <c r="B122" s="17" t="s">
        <v>167</v>
      </c>
      <c r="C122"/>
      <c r="D122"/>
      <c r="E122"/>
      <c r="F122"/>
      <c r="G122"/>
      <c r="H122"/>
      <c r="I122"/>
      <c r="J122" s="49"/>
      <c r="K122"/>
      <c r="L122" s="132" t="s">
        <v>202</v>
      </c>
      <c r="M122" s="22"/>
      <c r="N122" s="22">
        <v>0</v>
      </c>
      <c r="O122" s="22"/>
      <c r="P122" s="22">
        <v>0</v>
      </c>
      <c r="Q122" s="22"/>
      <c r="R122" s="6">
        <f t="shared" si="32"/>
        <v>0</v>
      </c>
      <c r="S122" s="22"/>
      <c r="T122" s="22">
        <v>0</v>
      </c>
      <c r="U122" s="22"/>
      <c r="V122" s="22">
        <v>0</v>
      </c>
      <c r="W122" s="22"/>
      <c r="X122" s="22">
        <v>0</v>
      </c>
      <c r="Y122" s="22"/>
      <c r="Z122" s="22">
        <v>0</v>
      </c>
      <c r="AA122" s="22"/>
      <c r="AB122" s="22">
        <v>0</v>
      </c>
      <c r="AC122" s="22"/>
      <c r="AD122" s="22">
        <v>0</v>
      </c>
      <c r="AE122" s="22"/>
      <c r="AF122" s="22">
        <v>0</v>
      </c>
      <c r="AG122" s="22"/>
      <c r="AH122" s="22">
        <v>0</v>
      </c>
      <c r="AI122" s="22"/>
      <c r="AJ122" s="22">
        <v>0</v>
      </c>
      <c r="AK122" s="22"/>
      <c r="AL122" s="22"/>
      <c r="AM122" s="22"/>
      <c r="AN122" s="22">
        <v>0</v>
      </c>
      <c r="AO122" s="22"/>
      <c r="AP122" s="22">
        <v>0</v>
      </c>
      <c r="AQ122" s="22"/>
      <c r="AR122" s="22">
        <v>0</v>
      </c>
      <c r="AS122" s="22"/>
      <c r="AT122" s="22">
        <v>0</v>
      </c>
      <c r="AU122" s="22"/>
      <c r="AV122" s="22">
        <v>0</v>
      </c>
      <c r="AW122" s="22"/>
      <c r="AX122" s="22">
        <v>0</v>
      </c>
      <c r="AY122" s="22"/>
      <c r="AZ122" s="22">
        <v>0</v>
      </c>
      <c r="BA122" s="22"/>
      <c r="BB122" s="22">
        <v>0</v>
      </c>
      <c r="BC122"/>
      <c r="BD122" s="22">
        <v>0</v>
      </c>
      <c r="BE122"/>
      <c r="BF122" s="22">
        <v>0</v>
      </c>
      <c r="BG122" s="22"/>
      <c r="BH122" s="22">
        <v>0</v>
      </c>
      <c r="BI122" s="22"/>
      <c r="BJ122" s="22">
        <v>0</v>
      </c>
      <c r="BK122" s="22"/>
      <c r="BL122" s="22">
        <v>0</v>
      </c>
      <c r="BM122" s="22"/>
      <c r="BN122" s="22">
        <v>0</v>
      </c>
      <c r="BO122" s="22"/>
      <c r="BP122" s="22">
        <f t="shared" si="33"/>
        <v>0</v>
      </c>
      <c r="BQ122" s="22"/>
      <c r="BR122" s="22">
        <v>0</v>
      </c>
      <c r="BS122" s="22"/>
      <c r="BT122" s="22">
        <f t="shared" si="34"/>
        <v>0</v>
      </c>
      <c r="BU122" s="22"/>
      <c r="BV122" s="6">
        <f t="shared" si="35"/>
        <v>0</v>
      </c>
      <c r="BW122" s="22"/>
      <c r="BX122" s="6">
        <f t="shared" si="36"/>
        <v>0</v>
      </c>
      <c r="BY122" s="22"/>
    </row>
    <row r="123" spans="1:77" s="15" customFormat="1" hidden="1">
      <c r="A123" s="77"/>
      <c r="B123" s="17" t="s">
        <v>168</v>
      </c>
      <c r="C123"/>
      <c r="D123"/>
      <c r="E123"/>
      <c r="F123"/>
      <c r="G123"/>
      <c r="H123"/>
      <c r="I123"/>
      <c r="J123" s="49"/>
      <c r="K123"/>
      <c r="L123" s="132" t="s">
        <v>202</v>
      </c>
      <c r="M123" s="22"/>
      <c r="N123" s="22">
        <v>0</v>
      </c>
      <c r="O123" s="22"/>
      <c r="P123" s="22">
        <v>0</v>
      </c>
      <c r="Q123" s="22"/>
      <c r="R123" s="6">
        <f t="shared" si="32"/>
        <v>0</v>
      </c>
      <c r="S123" s="22"/>
      <c r="T123" s="22">
        <v>0</v>
      </c>
      <c r="U123" s="22"/>
      <c r="V123" s="22">
        <v>0</v>
      </c>
      <c r="W123" s="22"/>
      <c r="X123" s="22">
        <v>0</v>
      </c>
      <c r="Y123" s="22"/>
      <c r="Z123" s="22">
        <v>0</v>
      </c>
      <c r="AA123" s="22"/>
      <c r="AB123" s="22">
        <v>0</v>
      </c>
      <c r="AC123" s="22"/>
      <c r="AD123" s="22">
        <v>0</v>
      </c>
      <c r="AE123" s="22"/>
      <c r="AF123" s="22">
        <v>0</v>
      </c>
      <c r="AG123" s="22"/>
      <c r="AH123" s="22">
        <v>0</v>
      </c>
      <c r="AI123" s="22"/>
      <c r="AJ123" s="22">
        <v>0</v>
      </c>
      <c r="AK123" s="22"/>
      <c r="AL123" s="22"/>
      <c r="AM123" s="22"/>
      <c r="AN123" s="22">
        <v>0</v>
      </c>
      <c r="AO123" s="22"/>
      <c r="AP123" s="22">
        <v>0</v>
      </c>
      <c r="AQ123" s="22"/>
      <c r="AR123" s="22">
        <v>0</v>
      </c>
      <c r="AS123" s="22"/>
      <c r="AT123" s="22">
        <v>0</v>
      </c>
      <c r="AU123" s="22"/>
      <c r="AV123" s="22">
        <v>0</v>
      </c>
      <c r="AW123" s="22"/>
      <c r="AX123" s="22">
        <v>0</v>
      </c>
      <c r="AY123" s="22"/>
      <c r="AZ123" s="22">
        <v>0</v>
      </c>
      <c r="BA123" s="22"/>
      <c r="BB123" s="22">
        <v>0</v>
      </c>
      <c r="BC123"/>
      <c r="BD123" s="22">
        <v>0</v>
      </c>
      <c r="BE123"/>
      <c r="BF123" s="22">
        <v>0</v>
      </c>
      <c r="BG123" s="22"/>
      <c r="BH123" s="22">
        <v>0</v>
      </c>
      <c r="BI123" s="22"/>
      <c r="BJ123" s="22">
        <v>0</v>
      </c>
      <c r="BK123" s="22"/>
      <c r="BL123" s="22">
        <v>0</v>
      </c>
      <c r="BM123" s="22"/>
      <c r="BN123" s="22">
        <v>0</v>
      </c>
      <c r="BO123" s="22"/>
      <c r="BP123" s="22">
        <f t="shared" si="33"/>
        <v>0</v>
      </c>
      <c r="BQ123" s="22"/>
      <c r="BR123" s="22">
        <v>0</v>
      </c>
      <c r="BS123" s="22"/>
      <c r="BT123" s="22">
        <f t="shared" si="34"/>
        <v>0</v>
      </c>
      <c r="BU123" s="22"/>
      <c r="BV123" s="6">
        <f t="shared" si="35"/>
        <v>0</v>
      </c>
      <c r="BW123" s="22"/>
      <c r="BX123" s="6">
        <f t="shared" si="36"/>
        <v>0</v>
      </c>
      <c r="BY123" s="22"/>
    </row>
    <row r="124" spans="1:77" s="109" customFormat="1" hidden="1">
      <c r="A124" s="77"/>
      <c r="B124" s="17" t="s">
        <v>23</v>
      </c>
      <c r="C124" s="30"/>
      <c r="D124" s="30"/>
      <c r="E124" s="30"/>
      <c r="F124" s="30"/>
      <c r="G124" s="30"/>
      <c r="H124" s="30"/>
      <c r="I124" s="30"/>
      <c r="J124" s="153"/>
      <c r="K124" s="30"/>
      <c r="L124" s="132" t="s">
        <v>202</v>
      </c>
      <c r="M124" s="80"/>
      <c r="N124" s="80">
        <v>0</v>
      </c>
      <c r="O124" s="80"/>
      <c r="P124" s="80">
        <v>0</v>
      </c>
      <c r="Q124" s="80"/>
      <c r="R124" s="6">
        <f t="shared" si="32"/>
        <v>0</v>
      </c>
      <c r="S124" s="80"/>
      <c r="T124" s="80">
        <v>0</v>
      </c>
      <c r="U124" s="80"/>
      <c r="V124" s="80">
        <v>0</v>
      </c>
      <c r="W124" s="80"/>
      <c r="X124" s="80">
        <v>0</v>
      </c>
      <c r="Y124" s="80"/>
      <c r="Z124" s="80">
        <v>0</v>
      </c>
      <c r="AA124" s="80"/>
      <c r="AB124" s="80">
        <v>0</v>
      </c>
      <c r="AC124" s="80"/>
      <c r="AD124" s="80">
        <v>0</v>
      </c>
      <c r="AE124" s="80"/>
      <c r="AF124" s="80">
        <v>0</v>
      </c>
      <c r="AG124" s="80"/>
      <c r="AH124" s="80">
        <v>0</v>
      </c>
      <c r="AI124" s="80"/>
      <c r="AJ124" s="80">
        <v>0</v>
      </c>
      <c r="AK124" s="80"/>
      <c r="AL124" s="80"/>
      <c r="AM124" s="80"/>
      <c r="AN124" s="80">
        <v>0</v>
      </c>
      <c r="AO124" s="80"/>
      <c r="AP124" s="80">
        <v>0</v>
      </c>
      <c r="AQ124" s="80"/>
      <c r="AR124" s="80">
        <v>0</v>
      </c>
      <c r="AS124" s="80"/>
      <c r="AT124" s="80">
        <v>0</v>
      </c>
      <c r="AU124" s="80"/>
      <c r="AV124" s="80">
        <v>0</v>
      </c>
      <c r="AW124" s="80"/>
      <c r="AX124" s="80">
        <v>0</v>
      </c>
      <c r="AY124" s="80"/>
      <c r="AZ124" s="80">
        <v>0</v>
      </c>
      <c r="BA124" s="80"/>
      <c r="BB124" s="80">
        <v>0</v>
      </c>
      <c r="BC124"/>
      <c r="BD124" s="80">
        <v>0</v>
      </c>
      <c r="BE124"/>
      <c r="BF124" s="80">
        <v>0</v>
      </c>
      <c r="BG124" s="80"/>
      <c r="BH124" s="80">
        <v>0</v>
      </c>
      <c r="BI124" s="80"/>
      <c r="BJ124" s="80">
        <v>0</v>
      </c>
      <c r="BK124" s="80"/>
      <c r="BL124" s="80">
        <v>0</v>
      </c>
      <c r="BM124" s="80"/>
      <c r="BN124" s="80">
        <v>0</v>
      </c>
      <c r="BO124" s="80"/>
      <c r="BP124" s="80">
        <f t="shared" si="33"/>
        <v>0</v>
      </c>
      <c r="BQ124" s="80"/>
      <c r="BR124" s="80">
        <v>0</v>
      </c>
      <c r="BS124" s="80"/>
      <c r="BT124" s="80">
        <f t="shared" si="34"/>
        <v>0</v>
      </c>
      <c r="BU124" s="80"/>
      <c r="BV124" s="6">
        <f t="shared" si="35"/>
        <v>0</v>
      </c>
      <c r="BW124" s="80"/>
      <c r="BX124" s="6">
        <f t="shared" si="36"/>
        <v>0</v>
      </c>
      <c r="BY124" s="80"/>
    </row>
    <row r="125" spans="1:77" s="109" customFormat="1" hidden="1">
      <c r="A125" s="77"/>
      <c r="B125" s="17" t="s">
        <v>121</v>
      </c>
      <c r="C125" s="30"/>
      <c r="D125" s="30"/>
      <c r="E125" s="30"/>
      <c r="F125" s="30"/>
      <c r="G125" s="30"/>
      <c r="H125" s="30"/>
      <c r="I125" s="30"/>
      <c r="J125" s="153"/>
      <c r="K125" s="30"/>
      <c r="L125" s="132" t="s">
        <v>202</v>
      </c>
      <c r="M125" s="80"/>
      <c r="N125" s="80">
        <v>0</v>
      </c>
      <c r="O125" s="80"/>
      <c r="P125" s="80">
        <v>0</v>
      </c>
      <c r="Q125" s="80"/>
      <c r="R125" s="6">
        <f t="shared" si="32"/>
        <v>0</v>
      </c>
      <c r="S125" s="80"/>
      <c r="T125" s="80">
        <v>0</v>
      </c>
      <c r="U125" s="80"/>
      <c r="V125" s="80">
        <v>0</v>
      </c>
      <c r="W125" s="80"/>
      <c r="X125" s="80">
        <v>0</v>
      </c>
      <c r="Y125" s="80"/>
      <c r="Z125" s="80">
        <v>0</v>
      </c>
      <c r="AA125" s="80"/>
      <c r="AB125" s="80">
        <v>0</v>
      </c>
      <c r="AC125" s="80"/>
      <c r="AD125" s="80">
        <v>0</v>
      </c>
      <c r="AE125" s="80"/>
      <c r="AF125" s="80">
        <v>0</v>
      </c>
      <c r="AG125" s="80"/>
      <c r="AH125" s="80">
        <v>0</v>
      </c>
      <c r="AI125" s="80"/>
      <c r="AJ125" s="80">
        <v>0</v>
      </c>
      <c r="AK125" s="80"/>
      <c r="AL125" s="80"/>
      <c r="AM125" s="80"/>
      <c r="AN125" s="80">
        <v>0</v>
      </c>
      <c r="AO125" s="80"/>
      <c r="AP125" s="80">
        <v>0</v>
      </c>
      <c r="AQ125" s="80"/>
      <c r="AR125" s="80">
        <v>0</v>
      </c>
      <c r="AS125" s="80"/>
      <c r="AT125" s="80">
        <v>0</v>
      </c>
      <c r="AU125" s="80"/>
      <c r="AV125" s="80">
        <v>0</v>
      </c>
      <c r="AW125" s="80"/>
      <c r="AX125" s="80">
        <v>0</v>
      </c>
      <c r="AY125" s="80"/>
      <c r="AZ125" s="80">
        <v>0</v>
      </c>
      <c r="BA125" s="80"/>
      <c r="BB125" s="80">
        <v>0</v>
      </c>
      <c r="BC125"/>
      <c r="BD125" s="80">
        <v>0</v>
      </c>
      <c r="BE125"/>
      <c r="BF125" s="80">
        <v>0</v>
      </c>
      <c r="BG125" s="80"/>
      <c r="BH125" s="80">
        <v>0</v>
      </c>
      <c r="BI125" s="80"/>
      <c r="BJ125" s="80">
        <v>0</v>
      </c>
      <c r="BK125" s="80"/>
      <c r="BL125" s="80">
        <v>0</v>
      </c>
      <c r="BM125" s="80"/>
      <c r="BN125" s="80">
        <v>0</v>
      </c>
      <c r="BO125" s="80"/>
      <c r="BP125" s="80">
        <f t="shared" si="33"/>
        <v>0</v>
      </c>
      <c r="BQ125" s="80"/>
      <c r="BR125" s="80">
        <v>0</v>
      </c>
      <c r="BS125" s="80"/>
      <c r="BT125" s="80">
        <f t="shared" si="34"/>
        <v>0</v>
      </c>
      <c r="BU125" s="80"/>
      <c r="BV125" s="6">
        <f t="shared" si="35"/>
        <v>0</v>
      </c>
      <c r="BW125" s="80"/>
      <c r="BX125" s="6">
        <f t="shared" si="36"/>
        <v>0</v>
      </c>
      <c r="BY125" s="80"/>
    </row>
    <row r="126" spans="1:77" s="109" customFormat="1" hidden="1">
      <c r="A126" s="77"/>
      <c r="B126" s="17"/>
      <c r="C126" s="30"/>
      <c r="D126" s="30"/>
      <c r="E126" s="30"/>
      <c r="F126" s="30"/>
      <c r="G126" s="30"/>
      <c r="H126" s="30"/>
      <c r="I126" s="30"/>
      <c r="J126" s="153"/>
      <c r="K126" s="30"/>
      <c r="L126" s="139"/>
      <c r="M126" s="80"/>
      <c r="N126" s="80"/>
      <c r="O126" s="80"/>
      <c r="P126" s="80"/>
      <c r="Q126" s="80"/>
      <c r="R126" s="80"/>
      <c r="S126" s="80"/>
      <c r="T126" s="80"/>
      <c r="U126" s="80"/>
      <c r="V126" s="80"/>
      <c r="W126" s="80"/>
      <c r="X126" s="80"/>
      <c r="Y126" s="80"/>
      <c r="Z126" s="80"/>
      <c r="AA126" s="80"/>
      <c r="AB126" s="80"/>
      <c r="AC126" s="80"/>
      <c r="AD126" s="80"/>
      <c r="AE126" s="80"/>
      <c r="AF126" s="80"/>
      <c r="AG126" s="80"/>
      <c r="AH126" s="80"/>
      <c r="AI126" s="80"/>
      <c r="AJ126" s="80"/>
      <c r="AK126" s="80"/>
      <c r="AL126" s="80"/>
      <c r="AM126" s="80"/>
      <c r="AN126" s="80"/>
      <c r="AO126" s="80"/>
      <c r="AP126" s="80"/>
      <c r="AQ126" s="80"/>
      <c r="AR126" s="80"/>
      <c r="AS126" s="80"/>
      <c r="AT126" s="80"/>
      <c r="AU126" s="80"/>
      <c r="AV126" s="80"/>
      <c r="AW126" s="80"/>
      <c r="AX126" s="80"/>
      <c r="AY126" s="80"/>
      <c r="AZ126" s="80"/>
      <c r="BA126" s="80"/>
      <c r="BB126" s="80"/>
      <c r="BC126"/>
      <c r="BD126" s="80"/>
      <c r="BE126"/>
      <c r="BF126" s="80"/>
      <c r="BG126" s="80"/>
      <c r="BH126" s="80"/>
      <c r="BI126" s="80"/>
      <c r="BJ126" s="80"/>
      <c r="BK126" s="80"/>
      <c r="BL126" s="80"/>
      <c r="BM126" s="80"/>
      <c r="BN126" s="80"/>
      <c r="BO126" s="80"/>
      <c r="BP126" s="80"/>
      <c r="BQ126" s="80"/>
      <c r="BR126" s="80"/>
      <c r="BS126" s="80"/>
      <c r="BT126" s="80"/>
      <c r="BU126" s="80"/>
      <c r="BV126" s="80"/>
      <c r="BW126" s="80"/>
      <c r="BX126" s="80"/>
      <c r="BY126" s="80"/>
    </row>
    <row r="127" spans="1:77" s="104" customFormat="1" hidden="1">
      <c r="A127" s="32"/>
      <c r="B127" s="77" t="s">
        <v>24</v>
      </c>
      <c r="C127" s="21"/>
      <c r="D127" s="21"/>
      <c r="E127" s="21"/>
      <c r="F127" s="21"/>
      <c r="G127" s="21"/>
      <c r="H127" s="21"/>
      <c r="I127" s="21"/>
      <c r="J127" s="8"/>
      <c r="K127" s="21"/>
      <c r="L127" s="141"/>
      <c r="M127" s="16"/>
      <c r="N127" s="108">
        <f>SUM(N116:N126)</f>
        <v>0</v>
      </c>
      <c r="O127" s="16"/>
      <c r="P127" s="108">
        <f>SUM(P116:P126)</f>
        <v>0</v>
      </c>
      <c r="Q127" s="16"/>
      <c r="R127" s="108">
        <f>SUM(R116:R126)</f>
        <v>0</v>
      </c>
      <c r="S127" s="16"/>
      <c r="T127" s="108">
        <f>SUM(T116:T126)</f>
        <v>0</v>
      </c>
      <c r="U127" s="16"/>
      <c r="V127" s="108">
        <f>SUM(V116:V126)</f>
        <v>0</v>
      </c>
      <c r="W127" s="16"/>
      <c r="X127" s="108">
        <f>SUM(X116:X126)</f>
        <v>0</v>
      </c>
      <c r="Y127" s="16"/>
      <c r="Z127" s="108">
        <f>SUM(Z116:Z126)</f>
        <v>0</v>
      </c>
      <c r="AA127" s="16"/>
      <c r="AB127" s="108">
        <f>SUM(AB116:AB126)</f>
        <v>0</v>
      </c>
      <c r="AC127" s="16"/>
      <c r="AD127" s="108">
        <f>SUM(AD116:AD126)</f>
        <v>0</v>
      </c>
      <c r="AE127" s="16"/>
      <c r="AF127" s="108">
        <f>SUM(AF116:AF126)</f>
        <v>0</v>
      </c>
      <c r="AG127" s="16"/>
      <c r="AH127" s="108">
        <f>SUM(AH116:AH126)</f>
        <v>0</v>
      </c>
      <c r="AI127" s="16"/>
      <c r="AJ127" s="108">
        <f>SUM(AJ116:AJ126)</f>
        <v>0</v>
      </c>
      <c r="AK127" s="16"/>
      <c r="AL127" s="108"/>
      <c r="AM127" s="16"/>
      <c r="AN127" s="108">
        <f>SUM(AN116:AN126)</f>
        <v>0</v>
      </c>
      <c r="AO127" s="16"/>
      <c r="AP127" s="108">
        <f>SUM(AP116:AP126)</f>
        <v>0</v>
      </c>
      <c r="AQ127" s="16"/>
      <c r="AR127" s="108">
        <f>SUM(AR116:AR126)</f>
        <v>0</v>
      </c>
      <c r="AS127" s="16"/>
      <c r="AT127" s="108">
        <f>SUM(AT116:AT126)</f>
        <v>0</v>
      </c>
      <c r="AU127" s="16"/>
      <c r="AV127" s="108">
        <f>SUM(AV116:AV126)</f>
        <v>0</v>
      </c>
      <c r="AW127" s="103"/>
      <c r="AX127" s="108">
        <f>SUM(AX116:AX126)</f>
        <v>0</v>
      </c>
      <c r="AY127" s="103"/>
      <c r="AZ127" s="108">
        <f>SUM(AZ116:AZ126)</f>
        <v>0</v>
      </c>
      <c r="BA127" s="103"/>
      <c r="BB127" s="108">
        <f>SUM(BB116:BB126)</f>
        <v>0</v>
      </c>
      <c r="BC127"/>
      <c r="BD127" s="108">
        <f>SUM(BD116:BD126)</f>
        <v>0</v>
      </c>
      <c r="BE127"/>
      <c r="BF127" s="108">
        <f>SUM(BF116:BF126)</f>
        <v>0</v>
      </c>
      <c r="BG127" s="103"/>
      <c r="BH127" s="108">
        <f>SUM(BH116:BH126)</f>
        <v>0</v>
      </c>
      <c r="BI127" s="103"/>
      <c r="BJ127" s="108">
        <f>SUM(BJ116:BJ126)</f>
        <v>0</v>
      </c>
      <c r="BK127" s="103"/>
      <c r="BL127" s="108">
        <f>SUM(BL116:BL126)</f>
        <v>0</v>
      </c>
      <c r="BM127" s="16"/>
      <c r="BN127" s="108">
        <f>SUM(BN116:BN126)</f>
        <v>0</v>
      </c>
      <c r="BO127" s="16"/>
      <c r="BP127" s="108">
        <f>SUM(BP116:BP126)</f>
        <v>0</v>
      </c>
      <c r="BQ127" s="16"/>
      <c r="BR127" s="108">
        <f>SUM(BR116:BR126)</f>
        <v>0</v>
      </c>
      <c r="BS127" s="16"/>
      <c r="BT127" s="108">
        <f>SUM(BT116:BT126)</f>
        <v>0</v>
      </c>
      <c r="BU127" s="16"/>
      <c r="BV127" s="108">
        <f>SUM(BV116:BV126)</f>
        <v>0</v>
      </c>
      <c r="BW127" s="16"/>
      <c r="BX127" s="108">
        <f>SUM(BX116:BX126)</f>
        <v>0</v>
      </c>
      <c r="BY127" s="103"/>
    </row>
    <row r="128" spans="1:77" s="15" customFormat="1" hidden="1">
      <c r="A128" s="109"/>
      <c r="B128" s="60"/>
      <c r="C128"/>
      <c r="D128"/>
      <c r="E128"/>
      <c r="F128"/>
      <c r="G128"/>
      <c r="H128"/>
      <c r="I128"/>
      <c r="J128" s="49"/>
      <c r="K128"/>
      <c r="L128" s="13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/>
      <c r="BD128" s="22"/>
      <c r="BE128"/>
      <c r="BF128" s="22"/>
      <c r="BG128" s="22"/>
      <c r="BH128" s="22"/>
      <c r="BI128" s="22"/>
      <c r="BJ128" s="22"/>
      <c r="BK128" s="22"/>
      <c r="BL128" s="22"/>
      <c r="BM128" s="22"/>
      <c r="BN128" s="22"/>
      <c r="BO128" s="22"/>
      <c r="BP128" s="22"/>
      <c r="BQ128" s="22"/>
      <c r="BR128" s="22"/>
      <c r="BS128" s="22"/>
      <c r="BT128" s="22"/>
      <c r="BU128" s="22"/>
      <c r="BV128" s="22"/>
      <c r="BW128" s="22"/>
      <c r="BX128" s="22"/>
      <c r="BY128" s="22"/>
    </row>
    <row r="129" spans="1:77" s="15" customFormat="1">
      <c r="A129" s="109"/>
      <c r="B129" s="60"/>
      <c r="C129"/>
      <c r="D129"/>
      <c r="E129"/>
      <c r="F129"/>
      <c r="G129"/>
      <c r="H129"/>
      <c r="I129"/>
      <c r="J129" s="49"/>
      <c r="K129"/>
      <c r="L129" s="13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/>
      <c r="BD129" s="22"/>
      <c r="BE129"/>
      <c r="BF129" s="22"/>
      <c r="BG129" s="22"/>
      <c r="BH129" s="22"/>
      <c r="BI129" s="22"/>
      <c r="BJ129" s="22"/>
      <c r="BK129" s="22"/>
      <c r="BL129" s="22"/>
      <c r="BM129" s="22"/>
      <c r="BN129" s="22"/>
      <c r="BO129" s="22"/>
      <c r="BP129" s="22"/>
      <c r="BQ129" s="22"/>
      <c r="BR129" s="22"/>
      <c r="BS129" s="22"/>
      <c r="BT129" s="22"/>
      <c r="BU129" s="22"/>
      <c r="BV129" s="22"/>
      <c r="BW129" s="22"/>
      <c r="BX129" s="22"/>
      <c r="BY129" s="22"/>
    </row>
    <row r="130" spans="1:77">
      <c r="A130" s="58" t="s">
        <v>25</v>
      </c>
      <c r="B130" s="58"/>
      <c r="C130"/>
      <c r="D130"/>
      <c r="E130"/>
      <c r="F130"/>
      <c r="G130"/>
      <c r="H130"/>
      <c r="I130"/>
      <c r="J130" s="49"/>
      <c r="K130"/>
      <c r="L130" s="132"/>
      <c r="M130" s="22"/>
      <c r="O130" s="22"/>
      <c r="Q130" s="22"/>
      <c r="S130" s="22"/>
      <c r="T130" s="6"/>
      <c r="U130" s="6"/>
      <c r="V130" s="6"/>
      <c r="X130" s="6"/>
      <c r="Z130" s="6"/>
      <c r="AB130" s="6"/>
      <c r="AD130" s="6"/>
      <c r="BL130" s="6"/>
      <c r="BM130" s="6"/>
      <c r="BN130" s="6"/>
      <c r="BO130" s="6"/>
      <c r="BQ130" s="6"/>
      <c r="BR130" s="6"/>
      <c r="BS130" s="6"/>
      <c r="BU130" s="22"/>
      <c r="BW130" s="22"/>
      <c r="BY130" s="6"/>
    </row>
    <row r="131" spans="1:77">
      <c r="A131" s="17"/>
      <c r="B131" s="17" t="s">
        <v>377</v>
      </c>
      <c r="E131" s="4"/>
      <c r="G131" s="4"/>
      <c r="I131" s="4"/>
      <c r="J131" s="5" t="s">
        <v>0</v>
      </c>
      <c r="L131" s="132" t="s">
        <v>202</v>
      </c>
      <c r="M131" s="22"/>
      <c r="N131" s="6">
        <v>0</v>
      </c>
      <c r="O131" s="22"/>
      <c r="P131" s="6">
        <v>0</v>
      </c>
      <c r="Q131" s="22"/>
      <c r="R131" s="6">
        <v>185000</v>
      </c>
      <c r="S131" s="22"/>
      <c r="T131" s="6">
        <v>0</v>
      </c>
      <c r="U131" s="6"/>
      <c r="V131" s="6">
        <v>0</v>
      </c>
      <c r="X131" s="6">
        <v>0</v>
      </c>
      <c r="Z131" s="6">
        <v>0</v>
      </c>
      <c r="AB131" s="6">
        <v>0</v>
      </c>
      <c r="AD131" s="6">
        <v>0</v>
      </c>
      <c r="AF131" s="6">
        <v>0</v>
      </c>
      <c r="AH131" s="6">
        <v>0</v>
      </c>
      <c r="AJ131" s="6">
        <v>0</v>
      </c>
      <c r="AN131" s="6">
        <v>0</v>
      </c>
      <c r="AP131" s="6">
        <v>0</v>
      </c>
      <c r="AR131" s="6">
        <v>0</v>
      </c>
      <c r="AT131" s="6">
        <v>0</v>
      </c>
      <c r="AV131" s="6">
        <v>0</v>
      </c>
      <c r="AX131" s="6">
        <v>37000</v>
      </c>
      <c r="AZ131" s="6">
        <v>37000</v>
      </c>
      <c r="BB131" s="6">
        <v>37000</v>
      </c>
      <c r="BD131" s="6">
        <v>37000</v>
      </c>
      <c r="BF131" s="6">
        <v>37000</v>
      </c>
      <c r="BH131" s="6">
        <v>0</v>
      </c>
      <c r="BJ131" s="6">
        <v>0</v>
      </c>
      <c r="BL131" s="6">
        <v>0</v>
      </c>
      <c r="BM131" s="6"/>
      <c r="BN131" s="6">
        <v>0</v>
      </c>
      <c r="BO131" s="6"/>
      <c r="BP131" s="6">
        <f>SUM(T131:BO131)</f>
        <v>185000</v>
      </c>
      <c r="BQ131" s="6"/>
      <c r="BR131" s="6">
        <v>0</v>
      </c>
      <c r="BS131" s="6"/>
      <c r="BT131" s="6">
        <f>IF(+R131-BP131+BR131&gt;0,R131-BP131+BR131,0)</f>
        <v>0</v>
      </c>
      <c r="BU131" s="22"/>
      <c r="BV131" s="6">
        <f>+BP131+BT131</f>
        <v>185000</v>
      </c>
      <c r="BW131" s="22"/>
      <c r="BX131" s="6">
        <f>+R131-BV131</f>
        <v>0</v>
      </c>
      <c r="BY131" s="6"/>
    </row>
    <row r="132" spans="1:77">
      <c r="A132" s="17"/>
      <c r="B132" s="17" t="s">
        <v>379</v>
      </c>
      <c r="E132" s="4"/>
      <c r="G132" s="4"/>
      <c r="I132" s="4"/>
      <c r="L132" s="132" t="s">
        <v>202</v>
      </c>
      <c r="M132" s="22"/>
      <c r="N132" s="6">
        <v>0</v>
      </c>
      <c r="O132" s="22"/>
      <c r="P132" s="6">
        <v>0</v>
      </c>
      <c r="Q132" s="22"/>
      <c r="R132" s="6">
        <v>723786</v>
      </c>
      <c r="S132" s="22"/>
      <c r="T132" s="6">
        <v>0</v>
      </c>
      <c r="U132" s="6"/>
      <c r="V132" s="6">
        <v>0</v>
      </c>
      <c r="X132" s="6">
        <v>0</v>
      </c>
      <c r="Z132" s="6">
        <v>0</v>
      </c>
      <c r="AB132" s="6">
        <v>0</v>
      </c>
      <c r="AD132" s="6">
        <v>0</v>
      </c>
      <c r="AF132" s="6">
        <v>0</v>
      </c>
      <c r="AH132" s="6">
        <v>0</v>
      </c>
      <c r="AJ132" s="6">
        <v>0</v>
      </c>
      <c r="AN132" s="6">
        <v>0</v>
      </c>
      <c r="AP132" s="6">
        <v>0</v>
      </c>
      <c r="AR132" s="6">
        <v>0</v>
      </c>
      <c r="AT132" s="6">
        <v>0</v>
      </c>
      <c r="AV132" s="6">
        <v>0</v>
      </c>
      <c r="AX132" s="6">
        <v>0</v>
      </c>
      <c r="AZ132" s="6">
        <f>55868.55+55613</f>
        <v>111481.55</v>
      </c>
      <c r="BB132" s="6">
        <v>138056.89000000001</v>
      </c>
      <c r="BD132" s="6">
        <v>122389.86</v>
      </c>
      <c r="BF132" s="6">
        <v>120325.41</v>
      </c>
      <c r="BH132" s="6">
        <v>112206.42</v>
      </c>
      <c r="BJ132" s="6">
        <v>187137.03</v>
      </c>
      <c r="BL132" s="6">
        <v>106789</v>
      </c>
      <c r="BM132" s="6"/>
      <c r="BN132" s="6">
        <v>955</v>
      </c>
      <c r="BO132" s="6"/>
      <c r="BP132" s="6">
        <f>SUM(T132:BO132)</f>
        <v>899341.16</v>
      </c>
      <c r="BQ132" s="6"/>
      <c r="BR132" s="6">
        <v>0</v>
      </c>
      <c r="BS132" s="6"/>
      <c r="BT132" s="6">
        <f>IF(+R132-BP132+BR132&gt;0,R132-BP132+BR132,0)</f>
        <v>0</v>
      </c>
      <c r="BU132" s="22"/>
      <c r="BV132" s="6">
        <f>+BP132+BT132</f>
        <v>899341.16</v>
      </c>
      <c r="BW132" s="22"/>
      <c r="BX132" s="6">
        <f>+R132-BV132</f>
        <v>-175555.16000000003</v>
      </c>
      <c r="BY132" s="6"/>
    </row>
    <row r="133" spans="1:77" hidden="1">
      <c r="A133" s="17"/>
      <c r="B133" s="17" t="s">
        <v>121</v>
      </c>
      <c r="E133" s="4"/>
      <c r="G133" s="4"/>
      <c r="I133" s="4"/>
      <c r="L133" s="132" t="s">
        <v>202</v>
      </c>
      <c r="M133" s="22"/>
      <c r="N133" s="6">
        <v>0</v>
      </c>
      <c r="O133" s="22"/>
      <c r="P133" s="6">
        <v>0</v>
      </c>
      <c r="Q133" s="22"/>
      <c r="R133" s="6">
        <v>0</v>
      </c>
      <c r="S133" s="22"/>
      <c r="T133" s="6">
        <v>0</v>
      </c>
      <c r="U133" s="6"/>
      <c r="V133" s="6">
        <v>0</v>
      </c>
      <c r="X133" s="6">
        <v>0</v>
      </c>
      <c r="Z133" s="6">
        <v>0</v>
      </c>
      <c r="AB133" s="6">
        <v>0</v>
      </c>
      <c r="AD133" s="6">
        <v>0</v>
      </c>
      <c r="AF133" s="6">
        <v>0</v>
      </c>
      <c r="AH133" s="6">
        <v>0</v>
      </c>
      <c r="AJ133" s="6">
        <v>0</v>
      </c>
      <c r="AN133" s="6">
        <v>0</v>
      </c>
      <c r="AP133" s="6">
        <v>0</v>
      </c>
      <c r="AR133" s="6">
        <v>0</v>
      </c>
      <c r="AT133" s="6">
        <v>0</v>
      </c>
      <c r="AV133" s="6">
        <v>0</v>
      </c>
      <c r="AX133" s="6">
        <v>0</v>
      </c>
      <c r="AZ133" s="6">
        <v>0</v>
      </c>
      <c r="BB133" s="6">
        <v>0</v>
      </c>
      <c r="BD133" s="6">
        <v>0</v>
      </c>
      <c r="BF133" s="6">
        <v>0</v>
      </c>
      <c r="BH133" s="6">
        <v>0</v>
      </c>
      <c r="BJ133" s="6">
        <v>0</v>
      </c>
      <c r="BL133" s="6">
        <v>0</v>
      </c>
      <c r="BM133" s="6"/>
      <c r="BN133" s="6">
        <v>0</v>
      </c>
      <c r="BO133" s="6"/>
      <c r="BP133" s="6">
        <f>SUM(T133:BO133)</f>
        <v>0</v>
      </c>
      <c r="BQ133" s="6"/>
      <c r="BR133" s="6">
        <v>0</v>
      </c>
      <c r="BS133" s="6"/>
      <c r="BT133" s="6">
        <f>+R133-BP133+BR133</f>
        <v>0</v>
      </c>
      <c r="BU133" s="22"/>
      <c r="BV133" s="6">
        <f>+BP133+BT133</f>
        <v>0</v>
      </c>
      <c r="BW133" s="22"/>
      <c r="BX133" s="6">
        <f>+R133-BV133</f>
        <v>0</v>
      </c>
      <c r="BY133" s="6"/>
    </row>
    <row r="134" spans="1:77" s="21" customFormat="1">
      <c r="A134" s="58"/>
      <c r="B134" s="58" t="s">
        <v>247</v>
      </c>
      <c r="J134" s="8"/>
      <c r="L134" s="141"/>
      <c r="M134" s="16"/>
      <c r="N134" s="102">
        <f>SUM(N131:N133)</f>
        <v>0</v>
      </c>
      <c r="O134" s="16"/>
      <c r="P134" s="102">
        <f>SUM(P131:P133)</f>
        <v>0</v>
      </c>
      <c r="Q134" s="16"/>
      <c r="R134" s="102">
        <f>SUM(R131:R133)</f>
        <v>908786</v>
      </c>
      <c r="S134" s="16"/>
      <c r="T134" s="102">
        <f>SUM(T131:T133)</f>
        <v>0</v>
      </c>
      <c r="U134" s="9"/>
      <c r="V134" s="102">
        <f>SUM(V131:V133)</f>
        <v>0</v>
      </c>
      <c r="W134" s="9"/>
      <c r="X134" s="102">
        <f>SUM(X131:X133)</f>
        <v>0</v>
      </c>
      <c r="Y134" s="9"/>
      <c r="Z134" s="102">
        <f>SUM(Z131:Z133)</f>
        <v>0</v>
      </c>
      <c r="AA134" s="9"/>
      <c r="AB134" s="102">
        <f>SUM(AB131:AB133)</f>
        <v>0</v>
      </c>
      <c r="AC134" s="9"/>
      <c r="AD134" s="102">
        <f>SUM(AD131:AD133)</f>
        <v>0</v>
      </c>
      <c r="AE134" s="9"/>
      <c r="AF134" s="102">
        <f>SUM(AF131:AF133)</f>
        <v>0</v>
      </c>
      <c r="AG134" s="9"/>
      <c r="AH134" s="102">
        <f>SUM(AH131:AH133)</f>
        <v>0</v>
      </c>
      <c r="AI134" s="9"/>
      <c r="AJ134" s="102">
        <f>SUM(AJ131:AJ133)</f>
        <v>0</v>
      </c>
      <c r="AK134" s="9"/>
      <c r="AL134" s="102">
        <f>SUM(AL131:AL133)</f>
        <v>0</v>
      </c>
      <c r="AM134" s="102"/>
      <c r="AN134" s="102">
        <f>SUM(AN131:AN133)</f>
        <v>0</v>
      </c>
      <c r="AO134" s="9"/>
      <c r="AP134" s="102">
        <f>SUM(AP131:AP133)</f>
        <v>0</v>
      </c>
      <c r="AQ134" s="9"/>
      <c r="AR134" s="102">
        <f>SUM(AR131:AR133)</f>
        <v>0</v>
      </c>
      <c r="AS134" s="9"/>
      <c r="AT134" s="102">
        <f>SUM(AT131:AT133)</f>
        <v>0</v>
      </c>
      <c r="AU134" s="9"/>
      <c r="AV134" s="102">
        <f>SUM(AV131:AV133)</f>
        <v>0</v>
      </c>
      <c r="AW134" s="10"/>
      <c r="AX134" s="102">
        <f>SUM(AX131:AX133)</f>
        <v>37000</v>
      </c>
      <c r="AY134" s="10"/>
      <c r="AZ134" s="102">
        <f>SUM(AZ131:AZ133)</f>
        <v>148481.54999999999</v>
      </c>
      <c r="BA134" s="10"/>
      <c r="BB134" s="102">
        <f>SUM(BB131:BB133)</f>
        <v>175056.89</v>
      </c>
      <c r="BC134"/>
      <c r="BD134" s="102">
        <f>SUM(BD131:BD133)</f>
        <v>159389.85999999999</v>
      </c>
      <c r="BE134"/>
      <c r="BF134" s="102">
        <f>SUM(BF131:BF133)</f>
        <v>157325.41</v>
      </c>
      <c r="BG134" s="10"/>
      <c r="BH134" s="102">
        <f>SUM(BH131:BH133)</f>
        <v>112206.42</v>
      </c>
      <c r="BI134" s="10"/>
      <c r="BJ134" s="102">
        <f>SUM(BJ131:BJ133)</f>
        <v>187137.03</v>
      </c>
      <c r="BK134" s="10"/>
      <c r="BL134" s="102">
        <f>SUM(BL131:BL133)</f>
        <v>106789</v>
      </c>
      <c r="BM134" s="9"/>
      <c r="BN134" s="102">
        <f>SUM(BN131:BN133)</f>
        <v>955</v>
      </c>
      <c r="BO134" s="9"/>
      <c r="BP134" s="102">
        <f>SUM(BP131:BP133)</f>
        <v>1084341.1600000001</v>
      </c>
      <c r="BQ134" s="9"/>
      <c r="BR134" s="102">
        <f>SUM(BR131:BR133)</f>
        <v>0</v>
      </c>
      <c r="BS134" s="9"/>
      <c r="BT134" s="102">
        <f>SUM(BT131:BT133)</f>
        <v>0</v>
      </c>
      <c r="BU134" s="16"/>
      <c r="BV134" s="102">
        <f>SUM(BV131:BV133)</f>
        <v>1084341.1600000001</v>
      </c>
      <c r="BW134" s="16"/>
      <c r="BX134" s="102">
        <f>SUM(BX131:BX133)</f>
        <v>-175555.16000000003</v>
      </c>
      <c r="BY134" s="9"/>
    </row>
    <row r="135" spans="1:77" s="21" customFormat="1">
      <c r="A135" s="58"/>
      <c r="B135" s="58"/>
      <c r="J135" s="8"/>
      <c r="L135" s="141"/>
      <c r="M135" s="16"/>
      <c r="N135" s="10"/>
      <c r="O135" s="16"/>
      <c r="P135" s="10"/>
      <c r="Q135" s="16"/>
      <c r="R135" s="10"/>
      <c r="S135" s="16"/>
      <c r="T135" s="10"/>
      <c r="U135" s="9"/>
      <c r="V135" s="10"/>
      <c r="W135" s="9"/>
      <c r="X135" s="10"/>
      <c r="Y135" s="9"/>
      <c r="Z135" s="10"/>
      <c r="AA135" s="9"/>
      <c r="AB135" s="10"/>
      <c r="AC135" s="9"/>
      <c r="AD135" s="10"/>
      <c r="AE135" s="9"/>
      <c r="AF135" s="10"/>
      <c r="AG135" s="9"/>
      <c r="AH135" s="10"/>
      <c r="AI135" s="9"/>
      <c r="AJ135" s="10"/>
      <c r="AK135" s="9"/>
      <c r="AL135" s="10"/>
      <c r="AM135" s="9"/>
      <c r="AN135" s="10"/>
      <c r="AO135" s="9"/>
      <c r="AP135" s="10"/>
      <c r="AQ135" s="9"/>
      <c r="AR135" s="10"/>
      <c r="AS135" s="9"/>
      <c r="AT135" s="10"/>
      <c r="AU135" s="9"/>
      <c r="AV135" s="10"/>
      <c r="AW135" s="10"/>
      <c r="AX135" s="10"/>
      <c r="AY135" s="10"/>
      <c r="AZ135" s="10"/>
      <c r="BA135" s="10"/>
      <c r="BB135" s="10"/>
      <c r="BC135"/>
      <c r="BD135" s="10"/>
      <c r="BE135"/>
      <c r="BF135" s="10"/>
      <c r="BG135" s="10"/>
      <c r="BH135" s="10"/>
      <c r="BI135" s="10"/>
      <c r="BJ135" s="10"/>
      <c r="BK135" s="10"/>
      <c r="BL135" s="10"/>
      <c r="BM135" s="9"/>
      <c r="BN135" s="10"/>
      <c r="BO135" s="9"/>
      <c r="BP135" s="10"/>
      <c r="BQ135" s="9"/>
      <c r="BR135" s="10"/>
      <c r="BS135" s="9"/>
      <c r="BT135" s="10"/>
      <c r="BU135" s="16"/>
      <c r="BV135" s="10"/>
      <c r="BW135" s="16"/>
      <c r="BX135" s="10"/>
      <c r="BY135" s="9"/>
    </row>
    <row r="136" spans="1:77" s="21" customFormat="1">
      <c r="A136" s="77" t="s">
        <v>408</v>
      </c>
      <c r="B136" s="58"/>
      <c r="J136" s="8" t="s">
        <v>0</v>
      </c>
      <c r="L136" s="141" t="s">
        <v>202</v>
      </c>
      <c r="M136" s="9"/>
      <c r="N136" s="9">
        <v>0</v>
      </c>
      <c r="O136" s="9"/>
      <c r="P136" s="9">
        <v>0</v>
      </c>
      <c r="Q136" s="9"/>
      <c r="R136" s="9">
        <v>0</v>
      </c>
      <c r="S136" s="9"/>
      <c r="T136" s="9">
        <v>0</v>
      </c>
      <c r="U136" s="9"/>
      <c r="V136" s="9">
        <v>0</v>
      </c>
      <c r="W136" s="9"/>
      <c r="X136" s="9">
        <v>0</v>
      </c>
      <c r="Y136" s="9"/>
      <c r="Z136" s="9">
        <v>0</v>
      </c>
      <c r="AA136" s="9"/>
      <c r="AB136" s="9">
        <v>0</v>
      </c>
      <c r="AC136" s="9"/>
      <c r="AD136" s="9">
        <v>0</v>
      </c>
      <c r="AE136" s="9"/>
      <c r="AF136" s="9">
        <v>0</v>
      </c>
      <c r="AG136" s="9"/>
      <c r="AH136" s="9">
        <v>0</v>
      </c>
      <c r="AI136" s="9"/>
      <c r="AJ136" s="9">
        <v>0</v>
      </c>
      <c r="AK136" s="9"/>
      <c r="AL136" s="9"/>
      <c r="AM136" s="9"/>
      <c r="AN136" s="9">
        <v>0</v>
      </c>
      <c r="AO136" s="9"/>
      <c r="AP136" s="9">
        <v>0</v>
      </c>
      <c r="AQ136" s="9"/>
      <c r="AR136" s="9">
        <v>0</v>
      </c>
      <c r="AS136" s="9"/>
      <c r="AT136" s="9">
        <v>0</v>
      </c>
      <c r="AU136" s="9"/>
      <c r="AV136" s="9">
        <v>0</v>
      </c>
      <c r="AW136" s="9"/>
      <c r="AX136" s="9">
        <v>0</v>
      </c>
      <c r="AY136" s="9"/>
      <c r="AZ136" s="9">
        <v>0</v>
      </c>
      <c r="BA136" s="9"/>
      <c r="BB136" s="9">
        <v>0</v>
      </c>
      <c r="BC136"/>
      <c r="BD136" s="9">
        <f>190718.52-110182.74</f>
        <v>80535.779999999984</v>
      </c>
      <c r="BE136"/>
      <c r="BF136" s="9">
        <v>10412.629999999999</v>
      </c>
      <c r="BG136" s="9"/>
      <c r="BH136" s="9">
        <v>12797.63</v>
      </c>
      <c r="BI136" s="9"/>
      <c r="BJ136" s="9">
        <v>8574.66</v>
      </c>
      <c r="BK136" s="9"/>
      <c r="BL136" s="9">
        <v>0</v>
      </c>
      <c r="BM136" s="9"/>
      <c r="BN136" s="9">
        <v>0</v>
      </c>
      <c r="BO136" s="9"/>
      <c r="BP136" s="16">
        <f>SUM(T136:BO136)</f>
        <v>112320.7</v>
      </c>
      <c r="BQ136" s="9"/>
      <c r="BR136" s="9">
        <v>0</v>
      </c>
      <c r="BS136" s="9"/>
      <c r="BT136" s="6">
        <f>IF(+R136-BP136+BR136&gt;0,R136-BP136+BR136,0)</f>
        <v>0</v>
      </c>
      <c r="BU136" s="9"/>
      <c r="BV136" s="9">
        <f>+BP136+BT136</f>
        <v>112320.7</v>
      </c>
      <c r="BW136" s="9"/>
      <c r="BX136" s="9">
        <f>+R136-BV136</f>
        <v>-112320.7</v>
      </c>
      <c r="BY136" s="9"/>
    </row>
    <row r="137" spans="1:77" s="21" customFormat="1">
      <c r="A137" s="77"/>
      <c r="B137" s="58"/>
      <c r="J137" s="8"/>
      <c r="L137" s="141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9"/>
      <c r="AQ137" s="9"/>
      <c r="AR137" s="9"/>
      <c r="AS137" s="9"/>
      <c r="AT137" s="9"/>
      <c r="AU137" s="9"/>
      <c r="AV137" s="9"/>
      <c r="AW137" s="9"/>
      <c r="AX137" s="9"/>
      <c r="AY137" s="9"/>
      <c r="AZ137" s="9"/>
      <c r="BA137" s="9"/>
      <c r="BB137" s="9"/>
      <c r="BC137"/>
      <c r="BD137" s="9"/>
      <c r="BE137"/>
      <c r="BF137" s="9"/>
      <c r="BG137" s="9"/>
      <c r="BH137" s="9"/>
      <c r="BI137" s="9"/>
      <c r="BJ137" s="9"/>
      <c r="BK137" s="9"/>
      <c r="BL137" s="9"/>
      <c r="BM137" s="9"/>
      <c r="BN137" s="9"/>
      <c r="BO137" s="9"/>
      <c r="BP137" s="9"/>
      <c r="BQ137" s="9"/>
      <c r="BR137" s="9"/>
      <c r="BS137" s="9"/>
      <c r="BT137" s="9"/>
      <c r="BU137" s="9"/>
      <c r="BV137" s="9"/>
      <c r="BW137" s="9"/>
      <c r="BX137" s="9"/>
      <c r="BY137" s="9"/>
    </row>
    <row r="138" spans="1:77" s="21" customFormat="1" hidden="1">
      <c r="A138" s="58" t="s">
        <v>216</v>
      </c>
      <c r="B138" s="31"/>
      <c r="J138" s="8" t="s">
        <v>0</v>
      </c>
      <c r="L138" s="132" t="s">
        <v>202</v>
      </c>
      <c r="M138" s="9"/>
      <c r="N138" s="9">
        <v>400000</v>
      </c>
      <c r="O138" s="9"/>
      <c r="P138" s="9">
        <v>100000</v>
      </c>
      <c r="Q138" s="9"/>
      <c r="R138" s="9">
        <v>0</v>
      </c>
      <c r="S138" s="9"/>
      <c r="T138" s="9">
        <v>0</v>
      </c>
      <c r="U138" s="9"/>
      <c r="V138" s="9">
        <v>0</v>
      </c>
      <c r="W138" s="9"/>
      <c r="X138" s="9">
        <v>0</v>
      </c>
      <c r="Y138" s="9"/>
      <c r="Z138" s="9">
        <v>0</v>
      </c>
      <c r="AA138" s="9"/>
      <c r="AB138" s="9">
        <v>0</v>
      </c>
      <c r="AC138" s="9"/>
      <c r="AD138" s="9">
        <v>0</v>
      </c>
      <c r="AE138" s="9"/>
      <c r="AF138" s="9">
        <v>0</v>
      </c>
      <c r="AG138" s="9"/>
      <c r="AH138" s="9">
        <v>0</v>
      </c>
      <c r="AI138" s="9"/>
      <c r="AJ138" s="9">
        <v>0</v>
      </c>
      <c r="AK138" s="9"/>
      <c r="AL138" s="9"/>
      <c r="AM138" s="9"/>
      <c r="AN138" s="9">
        <v>0</v>
      </c>
      <c r="AO138" s="9"/>
      <c r="AP138" s="9">
        <v>0</v>
      </c>
      <c r="AQ138" s="9"/>
      <c r="AR138" s="9">
        <v>0</v>
      </c>
      <c r="AS138" s="9"/>
      <c r="AT138" s="9">
        <v>0</v>
      </c>
      <c r="AU138" s="9"/>
      <c r="AV138" s="9">
        <v>0</v>
      </c>
      <c r="AW138" s="9"/>
      <c r="AX138" s="9">
        <v>0</v>
      </c>
      <c r="AY138" s="9"/>
      <c r="AZ138" s="9">
        <v>0</v>
      </c>
      <c r="BA138" s="9"/>
      <c r="BB138" s="9">
        <v>0</v>
      </c>
      <c r="BC138"/>
      <c r="BD138" s="9">
        <v>0</v>
      </c>
      <c r="BE138"/>
      <c r="BF138" s="9">
        <v>0</v>
      </c>
      <c r="BG138" s="9"/>
      <c r="BH138" s="9">
        <v>0</v>
      </c>
      <c r="BI138" s="9"/>
      <c r="BJ138" s="9">
        <v>0</v>
      </c>
      <c r="BK138" s="9"/>
      <c r="BL138" s="9">
        <v>0</v>
      </c>
      <c r="BM138" s="9"/>
      <c r="BN138" s="9">
        <v>0</v>
      </c>
      <c r="BO138" s="9"/>
      <c r="BP138" s="9">
        <f>SUM(T138:BO138)</f>
        <v>0</v>
      </c>
      <c r="BQ138" s="9"/>
      <c r="BR138" s="9">
        <v>0</v>
      </c>
      <c r="BS138" s="9"/>
      <c r="BT138" s="6">
        <f>IF(+R138-BP138+BR138&gt;0,R138-BP138+BR138,0)</f>
        <v>0</v>
      </c>
      <c r="BU138" s="9"/>
      <c r="BV138" s="9">
        <f>+BP138+BT138</f>
        <v>0</v>
      </c>
      <c r="BW138" s="9"/>
      <c r="BX138" s="9">
        <f>+R138-BV138</f>
        <v>0</v>
      </c>
      <c r="BY138" s="9"/>
    </row>
    <row r="139" spans="1:77" s="21" customFormat="1" hidden="1">
      <c r="A139" s="58"/>
      <c r="B139" s="31"/>
      <c r="J139" s="8"/>
      <c r="L139" s="132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/>
      <c r="AO139" s="9"/>
      <c r="AP139" s="9"/>
      <c r="AQ139" s="9"/>
      <c r="AR139" s="9"/>
      <c r="AS139" s="9"/>
      <c r="AT139" s="9"/>
      <c r="AU139" s="9"/>
      <c r="AV139" s="9"/>
      <c r="AW139" s="9"/>
      <c r="AX139" s="9"/>
      <c r="AY139" s="9"/>
      <c r="AZ139" s="9"/>
      <c r="BA139" s="9"/>
      <c r="BB139" s="9"/>
      <c r="BC139"/>
      <c r="BD139" s="9"/>
      <c r="BE139"/>
      <c r="BF139" s="9"/>
      <c r="BG139" s="9"/>
      <c r="BH139" s="9"/>
      <c r="BI139" s="9"/>
      <c r="BJ139" s="9"/>
      <c r="BK139" s="9"/>
      <c r="BL139" s="9"/>
      <c r="BM139" s="9"/>
      <c r="BN139" s="9"/>
      <c r="BO139" s="9"/>
      <c r="BP139" s="9"/>
      <c r="BQ139" s="9"/>
      <c r="BR139" s="9"/>
      <c r="BS139" s="9"/>
      <c r="BT139" s="9"/>
      <c r="BU139" s="9"/>
      <c r="BV139" s="9"/>
      <c r="BW139" s="9"/>
      <c r="BX139" s="9"/>
      <c r="BY139" s="9"/>
    </row>
    <row r="140" spans="1:77" s="31" customFormat="1">
      <c r="A140" s="58" t="s">
        <v>292</v>
      </c>
      <c r="J140" s="156" t="s">
        <v>0</v>
      </c>
      <c r="L140" s="143" t="s">
        <v>202</v>
      </c>
      <c r="M140" s="10"/>
      <c r="N140" s="10">
        <v>0</v>
      </c>
      <c r="O140" s="10"/>
      <c r="P140" s="10">
        <v>0</v>
      </c>
      <c r="Q140" s="10"/>
      <c r="R140" s="9">
        <v>675000</v>
      </c>
      <c r="S140" s="10"/>
      <c r="T140" s="10">
        <v>0</v>
      </c>
      <c r="U140" s="10"/>
      <c r="V140" s="10">
        <v>0</v>
      </c>
      <c r="W140" s="10"/>
      <c r="X140" s="10">
        <v>0</v>
      </c>
      <c r="Y140" s="10"/>
      <c r="Z140" s="10">
        <v>0</v>
      </c>
      <c r="AA140" s="10"/>
      <c r="AB140" s="10">
        <v>0</v>
      </c>
      <c r="AC140" s="10"/>
      <c r="AD140" s="10">
        <v>0</v>
      </c>
      <c r="AE140" s="10"/>
      <c r="AF140" s="10">
        <v>0</v>
      </c>
      <c r="AG140" s="10"/>
      <c r="AH140" s="10">
        <v>0</v>
      </c>
      <c r="AI140" s="10"/>
      <c r="AJ140" s="10">
        <v>0</v>
      </c>
      <c r="AK140" s="10"/>
      <c r="AL140" s="10"/>
      <c r="AM140" s="10"/>
      <c r="AN140" s="10">
        <v>0</v>
      </c>
      <c r="AO140" s="10"/>
      <c r="AP140" s="10">
        <v>0</v>
      </c>
      <c r="AQ140" s="10"/>
      <c r="AR140" s="10">
        <v>0</v>
      </c>
      <c r="AS140" s="10"/>
      <c r="AT140" s="10">
        <v>0</v>
      </c>
      <c r="AU140" s="10"/>
      <c r="AV140" s="10">
        <v>0</v>
      </c>
      <c r="AW140" s="10"/>
      <c r="AX140" s="10">
        <v>0</v>
      </c>
      <c r="AY140" s="10"/>
      <c r="AZ140" s="10">
        <v>0</v>
      </c>
      <c r="BA140" s="10"/>
      <c r="BB140" s="10">
        <v>0</v>
      </c>
      <c r="BC140"/>
      <c r="BD140" s="10">
        <v>0</v>
      </c>
      <c r="BE140"/>
      <c r="BF140" s="10">
        <v>0</v>
      </c>
      <c r="BG140" s="10"/>
      <c r="BH140" s="10"/>
      <c r="BI140" s="10"/>
      <c r="BJ140" s="10">
        <v>0</v>
      </c>
      <c r="BK140" s="10"/>
      <c r="BL140" s="10">
        <v>0</v>
      </c>
      <c r="BM140" s="10"/>
      <c r="BN140" s="10">
        <v>0</v>
      </c>
      <c r="BO140" s="10"/>
      <c r="BP140" s="10">
        <f>SUM(T140:BO140)</f>
        <v>0</v>
      </c>
      <c r="BQ140" s="10"/>
      <c r="BR140" s="10">
        <v>0</v>
      </c>
      <c r="BS140" s="10"/>
      <c r="BT140" s="6">
        <f>IF(+R140-BP140+BR140&gt;0,R140-BP140+BR140,0)</f>
        <v>675000</v>
      </c>
      <c r="BU140" s="10"/>
      <c r="BV140" s="9">
        <f>+BP140+BT140</f>
        <v>675000</v>
      </c>
      <c r="BW140" s="10"/>
      <c r="BX140" s="6">
        <f>+R140-BV140</f>
        <v>0</v>
      </c>
      <c r="BY140" s="10"/>
    </row>
    <row r="141" spans="1:77" s="21" customFormat="1">
      <c r="A141" s="58"/>
      <c r="B141" s="31"/>
      <c r="J141" s="8"/>
      <c r="L141" s="132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  <c r="AP141" s="9"/>
      <c r="AQ141" s="9"/>
      <c r="AR141" s="9"/>
      <c r="AS141" s="9"/>
      <c r="AT141" s="9"/>
      <c r="AU141" s="9"/>
      <c r="AV141" s="9"/>
      <c r="AW141" s="9"/>
      <c r="AX141" s="9"/>
      <c r="AY141" s="9"/>
      <c r="AZ141" s="9"/>
      <c r="BA141" s="9"/>
      <c r="BB141" s="9"/>
      <c r="BC141"/>
      <c r="BD141" s="9"/>
      <c r="BE141"/>
      <c r="BF141" s="9"/>
      <c r="BG141" s="9"/>
      <c r="BH141" s="9"/>
      <c r="BI141" s="9"/>
      <c r="BJ141" s="9"/>
      <c r="BK141" s="9"/>
      <c r="BL141" s="9"/>
      <c r="BM141" s="9"/>
      <c r="BN141" s="9"/>
      <c r="BO141" s="9"/>
      <c r="BP141" s="9"/>
      <c r="BQ141" s="9"/>
      <c r="BR141" s="9"/>
      <c r="BS141" s="9"/>
      <c r="BT141" s="9"/>
      <c r="BU141" s="9"/>
      <c r="BV141" s="9"/>
      <c r="BW141" s="9"/>
      <c r="BX141" s="9"/>
      <c r="BY141" s="9"/>
    </row>
    <row r="142" spans="1:77" s="21" customFormat="1">
      <c r="A142" s="58" t="s">
        <v>26</v>
      </c>
      <c r="B142" s="58"/>
      <c r="J142" s="8" t="s">
        <v>0</v>
      </c>
      <c r="L142" s="132" t="s">
        <v>202</v>
      </c>
      <c r="M142" s="16"/>
      <c r="N142" s="9">
        <v>0</v>
      </c>
      <c r="O142" s="16"/>
      <c r="P142" s="9">
        <v>0</v>
      </c>
      <c r="Q142" s="16"/>
      <c r="R142" s="9">
        <v>1247007</v>
      </c>
      <c r="S142" s="16"/>
      <c r="T142" s="9">
        <v>0</v>
      </c>
      <c r="U142" s="9"/>
      <c r="V142" s="9">
        <v>0</v>
      </c>
      <c r="W142" s="9"/>
      <c r="X142" s="9">
        <v>0</v>
      </c>
      <c r="Y142" s="9"/>
      <c r="Z142" s="9">
        <v>0</v>
      </c>
      <c r="AA142" s="9"/>
      <c r="AB142" s="9">
        <v>0</v>
      </c>
      <c r="AC142" s="9"/>
      <c r="AD142" s="9">
        <v>0</v>
      </c>
      <c r="AE142" s="9"/>
      <c r="AF142" s="9">
        <v>0</v>
      </c>
      <c r="AG142" s="9"/>
      <c r="AH142" s="9">
        <v>0</v>
      </c>
      <c r="AI142" s="9"/>
      <c r="AJ142" s="9">
        <v>0</v>
      </c>
      <c r="AK142" s="9"/>
      <c r="AL142" s="9"/>
      <c r="AM142" s="9"/>
      <c r="AN142" s="9">
        <v>0</v>
      </c>
      <c r="AO142" s="9"/>
      <c r="AP142" s="9">
        <v>0</v>
      </c>
      <c r="AQ142" s="9"/>
      <c r="AR142" s="9">
        <v>0</v>
      </c>
      <c r="AS142" s="9"/>
      <c r="AT142" s="9">
        <v>0</v>
      </c>
      <c r="AU142" s="9"/>
      <c r="AV142" s="9">
        <v>0</v>
      </c>
      <c r="AW142" s="9"/>
      <c r="AX142" s="9">
        <v>0</v>
      </c>
      <c r="AY142" s="9"/>
      <c r="AZ142" s="9">
        <v>0</v>
      </c>
      <c r="BA142" s="9"/>
      <c r="BB142" s="9">
        <v>0</v>
      </c>
      <c r="BC142"/>
      <c r="BD142" s="9">
        <v>0</v>
      </c>
      <c r="BE142"/>
      <c r="BF142" s="9">
        <v>0</v>
      </c>
      <c r="BG142" s="9"/>
      <c r="BH142" s="9">
        <v>0</v>
      </c>
      <c r="BI142" s="9"/>
      <c r="BJ142" s="9">
        <v>11745</v>
      </c>
      <c r="BK142" s="9"/>
      <c r="BL142" s="9">
        <f>-11745+33710</f>
        <v>21965</v>
      </c>
      <c r="BM142" s="9"/>
      <c r="BN142" s="9">
        <v>0</v>
      </c>
      <c r="BO142" s="9"/>
      <c r="BP142" s="9">
        <f>SUM(T142:BO142)</f>
        <v>33710</v>
      </c>
      <c r="BQ142" s="9"/>
      <c r="BR142" s="9">
        <v>0</v>
      </c>
      <c r="BS142" s="9"/>
      <c r="BT142" s="6">
        <f>IF(+R142-BP142+BR142&gt;0,R142-BP142+BR142,0)</f>
        <v>1213297</v>
      </c>
      <c r="BU142" s="16"/>
      <c r="BV142" s="9">
        <f>+BP142+BT142</f>
        <v>1247007</v>
      </c>
      <c r="BW142" s="16"/>
      <c r="BX142" s="6">
        <f>+R142-BV142</f>
        <v>0</v>
      </c>
      <c r="BY142" s="9"/>
    </row>
    <row r="143" spans="1:77" s="21" customFormat="1">
      <c r="A143" s="58"/>
      <c r="B143" s="31"/>
      <c r="J143" s="8"/>
      <c r="L143" s="132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  <c r="AN143" s="9"/>
      <c r="AO143" s="9"/>
      <c r="AP143" s="9"/>
      <c r="AQ143" s="9"/>
      <c r="AR143" s="9"/>
      <c r="AS143" s="9"/>
      <c r="AT143" s="9"/>
      <c r="AU143" s="9"/>
      <c r="AV143" s="9"/>
      <c r="AW143" s="9"/>
      <c r="AX143" s="9"/>
      <c r="AY143" s="9"/>
      <c r="AZ143" s="9"/>
      <c r="BA143" s="9"/>
      <c r="BB143" s="9"/>
      <c r="BC143"/>
      <c r="BD143" s="9"/>
      <c r="BE143"/>
      <c r="BF143" s="9"/>
      <c r="BG143" s="9"/>
      <c r="BH143" s="9"/>
      <c r="BI143" s="9"/>
      <c r="BJ143" s="9"/>
      <c r="BK143" s="9"/>
      <c r="BL143" s="9"/>
      <c r="BM143" s="9"/>
      <c r="BN143" s="9"/>
      <c r="BO143" s="9"/>
      <c r="BP143" s="9"/>
      <c r="BQ143" s="9"/>
      <c r="BR143" s="9"/>
      <c r="BS143" s="9"/>
      <c r="BT143" s="9"/>
      <c r="BU143" s="9"/>
      <c r="BV143" s="9"/>
      <c r="BW143" s="9"/>
      <c r="BX143" s="9"/>
      <c r="BY143" s="9"/>
    </row>
    <row r="144" spans="1:77">
      <c r="A144" s="58" t="s">
        <v>27</v>
      </c>
      <c r="B144" s="11"/>
      <c r="C144"/>
      <c r="D144"/>
      <c r="E144"/>
      <c r="F144"/>
      <c r="G144"/>
      <c r="H144"/>
      <c r="I144"/>
      <c r="J144" s="49"/>
      <c r="K144"/>
      <c r="L144" s="132"/>
      <c r="M144" s="6"/>
      <c r="O144" s="6"/>
      <c r="Q144" s="6"/>
      <c r="S144" s="6"/>
      <c r="T144" s="6"/>
      <c r="U144" s="6"/>
      <c r="V144" s="6"/>
      <c r="X144" s="6"/>
      <c r="Z144" s="6"/>
      <c r="AB144" s="6"/>
      <c r="AD144" s="6"/>
      <c r="BL144" s="6"/>
      <c r="BM144" s="6"/>
      <c r="BN144" s="6"/>
      <c r="BO144" s="6"/>
      <c r="BQ144" s="6"/>
      <c r="BR144" s="6"/>
      <c r="BS144" s="6"/>
      <c r="BY144" s="6"/>
    </row>
    <row r="145" spans="1:77">
      <c r="A145" s="17"/>
      <c r="B145" s="11" t="s">
        <v>207</v>
      </c>
      <c r="E145" s="4"/>
      <c r="G145" s="4"/>
      <c r="I145" s="4"/>
      <c r="J145" s="5" t="s">
        <v>0</v>
      </c>
      <c r="L145" s="132" t="s">
        <v>202</v>
      </c>
      <c r="M145" s="6"/>
      <c r="N145" s="6">
        <v>0</v>
      </c>
      <c r="O145" s="6"/>
      <c r="P145" s="6">
        <v>0</v>
      </c>
      <c r="Q145" s="6"/>
      <c r="R145" s="6">
        <v>0</v>
      </c>
      <c r="S145" s="6"/>
      <c r="T145" s="6">
        <v>0</v>
      </c>
      <c r="U145" s="6"/>
      <c r="V145" s="6">
        <v>0</v>
      </c>
      <c r="X145" s="6">
        <v>0</v>
      </c>
      <c r="Z145" s="6">
        <v>0</v>
      </c>
      <c r="AB145" s="6">
        <v>0</v>
      </c>
      <c r="AD145" s="6">
        <v>0</v>
      </c>
      <c r="AF145" s="6">
        <v>0</v>
      </c>
      <c r="AH145" s="6">
        <v>0</v>
      </c>
      <c r="AJ145" s="6">
        <v>0</v>
      </c>
      <c r="AN145" s="6">
        <v>0</v>
      </c>
      <c r="AP145" s="6">
        <v>0</v>
      </c>
      <c r="AR145" s="6">
        <v>0</v>
      </c>
      <c r="AV145" s="6">
        <v>0</v>
      </c>
      <c r="AX145" s="6">
        <v>25010</v>
      </c>
      <c r="AZ145" s="6">
        <v>0</v>
      </c>
      <c r="BB145" s="6">
        <v>0</v>
      </c>
      <c r="BD145" s="6">
        <v>0</v>
      </c>
      <c r="BF145" s="6">
        <v>0</v>
      </c>
      <c r="BH145" s="6">
        <v>20000</v>
      </c>
      <c r="BJ145" s="6">
        <v>0</v>
      </c>
      <c r="BL145" s="6">
        <v>0</v>
      </c>
      <c r="BM145" s="6"/>
      <c r="BN145" s="6">
        <v>0</v>
      </c>
      <c r="BO145" s="6"/>
      <c r="BP145" s="6">
        <f>SUM(T145:BO145)</f>
        <v>45010</v>
      </c>
      <c r="BQ145" s="6"/>
      <c r="BR145" s="6">
        <v>0</v>
      </c>
      <c r="BS145" s="6"/>
      <c r="BT145" s="6">
        <f>IF(+R145-BP145+BR145&gt;0,R145-BP145+BR145,0)</f>
        <v>0</v>
      </c>
      <c r="BV145" s="6">
        <f>+BP145+BT145</f>
        <v>45010</v>
      </c>
      <c r="BX145" s="6">
        <f>+R145-BV145</f>
        <v>-45010</v>
      </c>
      <c r="BY145" s="6"/>
    </row>
    <row r="146" spans="1:77">
      <c r="A146" s="17"/>
      <c r="B146" s="11" t="s">
        <v>208</v>
      </c>
      <c r="E146" s="4"/>
      <c r="G146" s="4"/>
      <c r="I146" s="4"/>
      <c r="J146" s="5" t="s">
        <v>0</v>
      </c>
      <c r="L146" s="132" t="s">
        <v>202</v>
      </c>
      <c r="M146" s="6"/>
      <c r="O146" s="6"/>
      <c r="Q146" s="6"/>
      <c r="R146" s="6">
        <v>0</v>
      </c>
      <c r="S146" s="6"/>
      <c r="T146" s="6">
        <v>0</v>
      </c>
      <c r="U146" s="6"/>
      <c r="V146" s="6">
        <v>0</v>
      </c>
      <c r="X146" s="6">
        <v>0</v>
      </c>
      <c r="Z146" s="6">
        <v>0</v>
      </c>
      <c r="AB146" s="6">
        <v>0</v>
      </c>
      <c r="AD146" s="6">
        <v>0</v>
      </c>
      <c r="AF146" s="6">
        <v>0</v>
      </c>
      <c r="AH146" s="6">
        <v>0</v>
      </c>
      <c r="AJ146" s="6">
        <v>0</v>
      </c>
      <c r="AN146" s="6">
        <v>0</v>
      </c>
      <c r="AP146" s="6">
        <v>0</v>
      </c>
      <c r="AR146" s="6">
        <v>0</v>
      </c>
      <c r="AT146" s="6">
        <v>0</v>
      </c>
      <c r="AV146" s="6">
        <v>0</v>
      </c>
      <c r="AX146" s="6">
        <v>0</v>
      </c>
      <c r="AZ146" s="6">
        <v>0</v>
      </c>
      <c r="BB146" s="6">
        <v>0</v>
      </c>
      <c r="BD146" s="6">
        <v>0</v>
      </c>
      <c r="BF146" s="6">
        <v>0</v>
      </c>
      <c r="BH146" s="6">
        <v>0</v>
      </c>
      <c r="BJ146" s="6">
        <v>0</v>
      </c>
      <c r="BL146" s="6">
        <v>0</v>
      </c>
      <c r="BM146" s="6"/>
      <c r="BN146" s="6">
        <v>0</v>
      </c>
      <c r="BO146" s="6"/>
      <c r="BP146" s="6">
        <f>SUM(T146:BO146)</f>
        <v>0</v>
      </c>
      <c r="BQ146" s="6"/>
      <c r="BR146" s="6">
        <v>0</v>
      </c>
      <c r="BS146" s="6"/>
      <c r="BT146" s="6">
        <f>IF(+R146-BP146+BR146&gt;0,R146-BP146+BR146,0)</f>
        <v>0</v>
      </c>
      <c r="BV146" s="6">
        <f>+BP146+BT146</f>
        <v>0</v>
      </c>
      <c r="BX146" s="6">
        <f>+R146-BV146</f>
        <v>0</v>
      </c>
      <c r="BY146" s="6"/>
    </row>
    <row r="147" spans="1:77">
      <c r="A147" s="17"/>
      <c r="B147" s="11" t="s">
        <v>209</v>
      </c>
      <c r="E147" s="4"/>
      <c r="G147" s="4"/>
      <c r="I147" s="4"/>
      <c r="J147" s="5" t="s">
        <v>0</v>
      </c>
      <c r="L147" s="132" t="s">
        <v>202</v>
      </c>
      <c r="M147" s="6"/>
      <c r="O147" s="6"/>
      <c r="Q147" s="6"/>
      <c r="R147" s="6">
        <v>369041</v>
      </c>
      <c r="S147" s="6"/>
      <c r="T147" s="6">
        <v>0</v>
      </c>
      <c r="U147" s="6"/>
      <c r="V147" s="6">
        <v>0</v>
      </c>
      <c r="X147" s="6">
        <v>0</v>
      </c>
      <c r="Z147" s="6">
        <v>0</v>
      </c>
      <c r="AB147" s="6">
        <v>0</v>
      </c>
      <c r="AD147" s="6">
        <v>0</v>
      </c>
      <c r="AF147" s="6">
        <v>0</v>
      </c>
      <c r="AH147" s="6">
        <v>0</v>
      </c>
      <c r="AJ147" s="6">
        <v>0</v>
      </c>
      <c r="AL147" s="6">
        <v>369041</v>
      </c>
      <c r="AN147" s="6">
        <v>0</v>
      </c>
      <c r="AP147" s="6">
        <v>0</v>
      </c>
      <c r="AR147" s="6">
        <v>0</v>
      </c>
      <c r="AT147" s="6">
        <v>0</v>
      </c>
      <c r="AV147" s="6">
        <v>14500</v>
      </c>
      <c r="AX147" s="6">
        <v>0</v>
      </c>
      <c r="AZ147" s="6">
        <v>0</v>
      </c>
      <c r="BB147" s="6">
        <v>0</v>
      </c>
      <c r="BD147" s="6">
        <v>0</v>
      </c>
      <c r="BF147" s="6">
        <v>0</v>
      </c>
      <c r="BH147" s="6">
        <v>0</v>
      </c>
      <c r="BJ147" s="6">
        <v>0</v>
      </c>
      <c r="BL147" s="6">
        <v>54315</v>
      </c>
      <c r="BM147" s="6"/>
      <c r="BN147" s="6">
        <v>54315</v>
      </c>
      <c r="BO147" s="6"/>
      <c r="BP147" s="6">
        <f>SUM(T147:BO147)</f>
        <v>492171</v>
      </c>
      <c r="BQ147" s="6"/>
      <c r="BR147" s="6">
        <v>54315</v>
      </c>
      <c r="BS147" s="6"/>
      <c r="BT147" s="6">
        <f>IF(+R147-BP147+BR147&gt;0,R147-BP147+BR147,0)</f>
        <v>0</v>
      </c>
      <c r="BV147" s="6">
        <f>+BP147+BT147</f>
        <v>492171</v>
      </c>
      <c r="BX147" s="6">
        <f>+R147-BV147</f>
        <v>-123130</v>
      </c>
      <c r="BY147" s="6"/>
    </row>
    <row r="148" spans="1:77">
      <c r="A148" s="17"/>
      <c r="B148" s="11" t="s">
        <v>210</v>
      </c>
      <c r="E148" s="4"/>
      <c r="G148" s="4"/>
      <c r="I148" s="4"/>
      <c r="J148" s="5" t="s">
        <v>0</v>
      </c>
      <c r="L148" s="132" t="s">
        <v>202</v>
      </c>
      <c r="M148" s="6"/>
      <c r="O148" s="6"/>
      <c r="Q148" s="6"/>
      <c r="R148" s="6">
        <v>0</v>
      </c>
      <c r="S148" s="6"/>
      <c r="T148" s="6"/>
      <c r="U148" s="6"/>
      <c r="V148" s="6"/>
      <c r="X148" s="6"/>
      <c r="Z148" s="6"/>
      <c r="AB148" s="6"/>
      <c r="AD148" s="6"/>
      <c r="BL148" s="6"/>
      <c r="BM148" s="6"/>
      <c r="BN148" s="6"/>
      <c r="BO148" s="6"/>
      <c r="BQ148" s="6"/>
      <c r="BR148" s="6"/>
      <c r="BS148" s="6"/>
      <c r="BT148" s="6">
        <f>IF(+R148-BP148+BR148&gt;0,R148-BP148+BR148,0)</f>
        <v>0</v>
      </c>
      <c r="BV148" s="6">
        <f>+BP148+BT148</f>
        <v>0</v>
      </c>
      <c r="BX148" s="6">
        <f>+R148-BV148</f>
        <v>0</v>
      </c>
      <c r="BY148" s="6"/>
    </row>
    <row r="149" spans="1:77" s="21" customFormat="1">
      <c r="A149" s="58"/>
      <c r="B149" s="31" t="s">
        <v>182</v>
      </c>
      <c r="J149" s="8"/>
      <c r="L149" s="141"/>
      <c r="M149" s="9"/>
      <c r="N149" s="102">
        <f>SUM(N145:N148)</f>
        <v>0</v>
      </c>
      <c r="O149" s="9"/>
      <c r="P149" s="102">
        <f>SUM(P145:P148)</f>
        <v>0</v>
      </c>
      <c r="Q149" s="9"/>
      <c r="R149" s="102">
        <f>SUM(R145:R148)</f>
        <v>369041</v>
      </c>
      <c r="S149" s="9"/>
      <c r="T149" s="102">
        <f>SUM(T145:T148)</f>
        <v>0</v>
      </c>
      <c r="U149" s="9"/>
      <c r="V149" s="102">
        <f>SUM(V145:V148)</f>
        <v>0</v>
      </c>
      <c r="W149" s="9"/>
      <c r="X149" s="102">
        <f>SUM(X145:X148)</f>
        <v>0</v>
      </c>
      <c r="Y149" s="9"/>
      <c r="Z149" s="102">
        <f>SUM(Z145:Z148)</f>
        <v>0</v>
      </c>
      <c r="AA149" s="9"/>
      <c r="AB149" s="102">
        <f>SUM(AB145:AB148)</f>
        <v>0</v>
      </c>
      <c r="AC149" s="9"/>
      <c r="AD149" s="102">
        <f>SUM(AD145:AD148)</f>
        <v>0</v>
      </c>
      <c r="AE149" s="9"/>
      <c r="AF149" s="102">
        <f>SUM(AF145:AF148)</f>
        <v>0</v>
      </c>
      <c r="AG149" s="9"/>
      <c r="AH149" s="102">
        <f>SUM(AH145:AH148)</f>
        <v>0</v>
      </c>
      <c r="AI149" s="9"/>
      <c r="AJ149" s="102">
        <f>SUM(AJ145:AJ148)</f>
        <v>0</v>
      </c>
      <c r="AK149" s="9"/>
      <c r="AL149" s="102">
        <f>SUM(AL145:AL148)</f>
        <v>369041</v>
      </c>
      <c r="AM149" s="102"/>
      <c r="AN149" s="102">
        <f>SUM(AN145:AN148)</f>
        <v>0</v>
      </c>
      <c r="AO149" s="9"/>
      <c r="AP149" s="102">
        <f>SUM(AP145:AP148)</f>
        <v>0</v>
      </c>
      <c r="AQ149" s="9"/>
      <c r="AR149" s="102">
        <f>SUM(AR145:AR148)</f>
        <v>0</v>
      </c>
      <c r="AS149" s="9"/>
      <c r="AT149" s="102">
        <f>SUM(AT145:AT148)</f>
        <v>0</v>
      </c>
      <c r="AU149" s="9"/>
      <c r="AV149" s="102">
        <f>SUM(AV145:AV148)</f>
        <v>14500</v>
      </c>
      <c r="AW149" s="10"/>
      <c r="AX149" s="102">
        <f>SUM(AX145:AX148)</f>
        <v>25010</v>
      </c>
      <c r="AY149" s="10"/>
      <c r="AZ149" s="102">
        <f>SUM(AZ145:AZ148)</f>
        <v>0</v>
      </c>
      <c r="BA149" s="10"/>
      <c r="BB149" s="102">
        <f>SUM(BB145:BB148)</f>
        <v>0</v>
      </c>
      <c r="BC149"/>
      <c r="BD149" s="102">
        <f>SUM(BD145:BD148)</f>
        <v>0</v>
      </c>
      <c r="BE149"/>
      <c r="BF149" s="102">
        <f>SUM(BF145:BF148)</f>
        <v>0</v>
      </c>
      <c r="BG149" s="10"/>
      <c r="BH149" s="102">
        <f>SUM(BH145:BH148)</f>
        <v>20000</v>
      </c>
      <c r="BI149" s="10"/>
      <c r="BJ149" s="102">
        <f>SUM(BJ145:BJ148)</f>
        <v>0</v>
      </c>
      <c r="BK149" s="10"/>
      <c r="BL149" s="102">
        <f>SUM(BL145:BL148)</f>
        <v>54315</v>
      </c>
      <c r="BM149" s="9"/>
      <c r="BN149" s="102">
        <f>SUM(BN145:BN148)</f>
        <v>54315</v>
      </c>
      <c r="BO149" s="9"/>
      <c r="BP149" s="102">
        <f>SUM(BP145:BP148)</f>
        <v>537181</v>
      </c>
      <c r="BQ149" s="9"/>
      <c r="BR149" s="102">
        <f>SUM(BR145:BR148)</f>
        <v>54315</v>
      </c>
      <c r="BS149" s="9"/>
      <c r="BT149" s="102">
        <f>SUM(BT145:BT148)</f>
        <v>0</v>
      </c>
      <c r="BU149" s="9"/>
      <c r="BV149" s="102">
        <f>SUM(BV145:BV148)</f>
        <v>537181</v>
      </c>
      <c r="BW149" s="9"/>
      <c r="BX149" s="102">
        <f>SUM(BX145:BX148)</f>
        <v>-168140</v>
      </c>
      <c r="BY149" s="9"/>
    </row>
    <row r="150" spans="1:77" s="21" customFormat="1">
      <c r="A150" s="58"/>
      <c r="B150" s="31"/>
      <c r="J150" s="8"/>
      <c r="L150" s="132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  <c r="AN150" s="9"/>
      <c r="AO150" s="9"/>
      <c r="AP150" s="9"/>
      <c r="AQ150" s="9"/>
      <c r="AR150" s="9"/>
      <c r="AS150" s="9"/>
      <c r="AT150" s="9"/>
      <c r="AU150" s="9"/>
      <c r="AV150" s="9"/>
      <c r="AW150" s="9"/>
      <c r="AX150" s="9"/>
      <c r="AY150" s="9"/>
      <c r="AZ150" s="9"/>
      <c r="BA150" s="9"/>
      <c r="BB150" s="9"/>
      <c r="BC150"/>
      <c r="BD150" s="9"/>
      <c r="BE150"/>
      <c r="BF150" s="9"/>
      <c r="BG150" s="9"/>
      <c r="BH150" s="9"/>
      <c r="BI150" s="9"/>
      <c r="BJ150" s="9"/>
      <c r="BK150" s="9"/>
      <c r="BL150" s="9"/>
      <c r="BM150" s="9"/>
      <c r="BN150" s="9"/>
      <c r="BO150" s="9"/>
      <c r="BP150" s="9"/>
      <c r="BQ150" s="9"/>
      <c r="BR150" s="9"/>
      <c r="BS150" s="9"/>
      <c r="BT150" s="9"/>
      <c r="BU150" s="9"/>
      <c r="BV150" s="9"/>
      <c r="BW150" s="9"/>
      <c r="BX150" s="9"/>
      <c r="BY150" s="9"/>
    </row>
    <row r="151" spans="1:77">
      <c r="A151" s="58" t="s">
        <v>28</v>
      </c>
      <c r="B151" s="11"/>
      <c r="C151"/>
      <c r="D151"/>
      <c r="E151"/>
      <c r="F151"/>
      <c r="G151"/>
      <c r="H151"/>
      <c r="I151"/>
      <c r="J151" s="49"/>
      <c r="K151"/>
      <c r="L151" s="132"/>
      <c r="M151" s="6"/>
      <c r="O151" s="6"/>
      <c r="Q151" s="6"/>
      <c r="S151" s="6"/>
      <c r="T151" s="6"/>
      <c r="U151" s="6"/>
      <c r="V151" s="6"/>
      <c r="X151" s="6"/>
      <c r="Z151" s="6"/>
      <c r="AB151" s="6"/>
      <c r="AD151" s="6"/>
      <c r="BL151" s="6"/>
      <c r="BM151" s="6"/>
      <c r="BN151" s="6"/>
      <c r="BO151" s="6"/>
      <c r="BQ151" s="6"/>
      <c r="BR151" s="6"/>
      <c r="BS151" s="6"/>
      <c r="BY151" s="6"/>
    </row>
    <row r="152" spans="1:77">
      <c r="A152" s="58"/>
      <c r="B152" s="11" t="s">
        <v>211</v>
      </c>
      <c r="C152"/>
      <c r="D152"/>
      <c r="E152"/>
      <c r="F152"/>
      <c r="G152"/>
      <c r="H152"/>
      <c r="I152"/>
      <c r="J152" s="49"/>
      <c r="K152"/>
      <c r="L152" s="132" t="s">
        <v>203</v>
      </c>
      <c r="M152" s="6"/>
      <c r="N152" s="6">
        <v>0</v>
      </c>
      <c r="O152" s="6"/>
      <c r="P152" s="6">
        <v>0</v>
      </c>
      <c r="Q152" s="6"/>
      <c r="R152" s="6">
        <v>69419</v>
      </c>
      <c r="S152" s="6"/>
      <c r="T152" s="6"/>
      <c r="U152" s="6"/>
      <c r="V152" s="6"/>
      <c r="X152" s="6"/>
      <c r="Z152" s="6"/>
      <c r="AB152" s="6"/>
      <c r="AD152" s="6"/>
      <c r="AL152" s="6">
        <v>69419</v>
      </c>
      <c r="AN152" s="6">
        <v>0</v>
      </c>
      <c r="AP152" s="6">
        <v>0</v>
      </c>
      <c r="AR152" s="6">
        <v>0</v>
      </c>
      <c r="AT152" s="6">
        <v>0</v>
      </c>
      <c r="AV152" s="6">
        <v>0</v>
      </c>
      <c r="AX152" s="6">
        <v>0</v>
      </c>
      <c r="AZ152" s="6">
        <v>0</v>
      </c>
      <c r="BB152" s="6">
        <v>0</v>
      </c>
      <c r="BD152" s="6">
        <v>0</v>
      </c>
      <c r="BF152" s="6">
        <v>0</v>
      </c>
      <c r="BH152" s="6">
        <v>0</v>
      </c>
      <c r="BJ152" s="6">
        <v>0</v>
      </c>
      <c r="BL152" s="6">
        <v>0</v>
      </c>
      <c r="BM152" s="6"/>
      <c r="BN152" s="6">
        <v>0</v>
      </c>
      <c r="BO152" s="6"/>
      <c r="BP152" s="6">
        <f t="shared" ref="BP152:BP157" si="37">SUM(T152:BO152)</f>
        <v>69419</v>
      </c>
      <c r="BQ152" s="6"/>
      <c r="BR152" s="223">
        <v>0</v>
      </c>
      <c r="BS152" s="6"/>
      <c r="BT152" s="6">
        <f t="shared" ref="BT152:BT158" si="38">IF(+R152-BP152+BR152&gt;0,R152-BP152+BR152,0)</f>
        <v>0</v>
      </c>
      <c r="BV152" s="6">
        <f t="shared" ref="BV152:BV157" si="39">+BP152+BT152</f>
        <v>69419</v>
      </c>
      <c r="BX152" s="6">
        <f t="shared" ref="BX152:BX157" si="40">+R152-BV152</f>
        <v>0</v>
      </c>
      <c r="BY152" s="6"/>
    </row>
    <row r="153" spans="1:77">
      <c r="A153" s="100"/>
      <c r="B153" s="17" t="s">
        <v>212</v>
      </c>
      <c r="C153"/>
      <c r="D153"/>
      <c r="E153"/>
      <c r="F153"/>
      <c r="G153"/>
      <c r="H153"/>
      <c r="I153"/>
      <c r="J153" s="49"/>
      <c r="K153"/>
      <c r="L153" s="132" t="s">
        <v>203</v>
      </c>
      <c r="M153" s="6"/>
      <c r="N153" s="6">
        <v>0</v>
      </c>
      <c r="O153" s="6"/>
      <c r="P153" s="6">
        <v>0</v>
      </c>
      <c r="Q153" s="6"/>
      <c r="R153" s="6">
        <v>0</v>
      </c>
      <c r="S153" s="6"/>
      <c r="T153" s="6"/>
      <c r="U153" s="6"/>
      <c r="V153" s="6"/>
      <c r="X153" s="6"/>
      <c r="Z153" s="6"/>
      <c r="AB153" s="6"/>
      <c r="AD153" s="6"/>
      <c r="AN153" s="6">
        <v>0</v>
      </c>
      <c r="AP153" s="6">
        <v>0</v>
      </c>
      <c r="AR153" s="6">
        <v>0</v>
      </c>
      <c r="AT153" s="6">
        <v>0</v>
      </c>
      <c r="AV153" s="6">
        <v>0</v>
      </c>
      <c r="AX153" s="6">
        <v>0</v>
      </c>
      <c r="BH153" s="6">
        <v>0</v>
      </c>
      <c r="BL153" s="6">
        <v>0</v>
      </c>
      <c r="BM153" s="6"/>
      <c r="BN153" s="6">
        <v>0</v>
      </c>
      <c r="BO153" s="6"/>
      <c r="BP153" s="6">
        <f t="shared" si="37"/>
        <v>0</v>
      </c>
      <c r="BQ153" s="6"/>
      <c r="BR153" s="223">
        <v>0</v>
      </c>
      <c r="BS153" s="6"/>
      <c r="BT153" s="6">
        <f t="shared" si="38"/>
        <v>0</v>
      </c>
      <c r="BV153" s="6">
        <f t="shared" si="39"/>
        <v>0</v>
      </c>
      <c r="BX153" s="6">
        <f t="shared" si="40"/>
        <v>0</v>
      </c>
      <c r="BY153" s="6"/>
    </row>
    <row r="154" spans="1:77">
      <c r="A154" s="100"/>
      <c r="B154" s="17" t="s">
        <v>213</v>
      </c>
      <c r="C154"/>
      <c r="D154"/>
      <c r="E154"/>
      <c r="F154"/>
      <c r="G154"/>
      <c r="H154"/>
      <c r="I154"/>
      <c r="J154" s="49"/>
      <c r="K154"/>
      <c r="L154" s="132" t="s">
        <v>203</v>
      </c>
      <c r="M154" s="6"/>
      <c r="O154" s="6"/>
      <c r="P154" s="6">
        <v>0</v>
      </c>
      <c r="Q154" s="6"/>
      <c r="R154" s="6">
        <v>0</v>
      </c>
      <c r="S154" s="6"/>
      <c r="T154" s="6"/>
      <c r="U154" s="6"/>
      <c r="V154" s="6"/>
      <c r="X154" s="6"/>
      <c r="Z154" s="6"/>
      <c r="AB154" s="6"/>
      <c r="AD154" s="6"/>
      <c r="AN154" s="6">
        <v>0</v>
      </c>
      <c r="AP154" s="6">
        <v>0</v>
      </c>
      <c r="AR154" s="6">
        <v>0</v>
      </c>
      <c r="AT154" s="6">
        <v>0</v>
      </c>
      <c r="AV154" s="6">
        <v>0</v>
      </c>
      <c r="AX154" s="6">
        <v>0</v>
      </c>
      <c r="AZ154" s="6">
        <v>131064.3</v>
      </c>
      <c r="BB154" s="6">
        <v>2040.3</v>
      </c>
      <c r="BD154" s="6">
        <v>0</v>
      </c>
      <c r="BF154" s="6">
        <v>213078.6</v>
      </c>
      <c r="BH154" s="6">
        <v>0</v>
      </c>
      <c r="BJ154" s="6">
        <v>155653.44</v>
      </c>
      <c r="BL154" s="6">
        <v>0</v>
      </c>
      <c r="BM154" s="6"/>
      <c r="BN154" s="6">
        <v>0</v>
      </c>
      <c r="BO154" s="6"/>
      <c r="BP154" s="6">
        <f t="shared" si="37"/>
        <v>501836.64</v>
      </c>
      <c r="BQ154" s="6"/>
      <c r="BR154" s="223">
        <v>0</v>
      </c>
      <c r="BS154" s="6"/>
      <c r="BT154" s="6">
        <f t="shared" si="38"/>
        <v>0</v>
      </c>
      <c r="BV154" s="6">
        <f t="shared" si="39"/>
        <v>501836.64</v>
      </c>
      <c r="BX154" s="6">
        <f t="shared" si="40"/>
        <v>-501836.64</v>
      </c>
      <c r="BY154" s="6"/>
    </row>
    <row r="155" spans="1:77">
      <c r="A155" s="100"/>
      <c r="B155" s="17" t="s">
        <v>214</v>
      </c>
      <c r="C155"/>
      <c r="D155"/>
      <c r="E155"/>
      <c r="F155"/>
      <c r="G155"/>
      <c r="H155"/>
      <c r="I155"/>
      <c r="J155" s="49"/>
      <c r="K155"/>
      <c r="L155" s="132" t="s">
        <v>203</v>
      </c>
      <c r="M155" s="6"/>
      <c r="O155" s="6"/>
      <c r="P155" s="6">
        <v>0</v>
      </c>
      <c r="Q155" s="6"/>
      <c r="R155" s="6">
        <v>0</v>
      </c>
      <c r="S155" s="6"/>
      <c r="T155" s="6"/>
      <c r="U155" s="6"/>
      <c r="V155" s="6"/>
      <c r="X155" s="6"/>
      <c r="Z155" s="6"/>
      <c r="AB155" s="6"/>
      <c r="AD155" s="6"/>
      <c r="AN155" s="6">
        <v>0</v>
      </c>
      <c r="AP155" s="6">
        <v>0</v>
      </c>
      <c r="AR155" s="6">
        <v>0</v>
      </c>
      <c r="AT155" s="6">
        <v>0</v>
      </c>
      <c r="AX155" s="6">
        <v>0</v>
      </c>
      <c r="AZ155" s="6">
        <v>0</v>
      </c>
      <c r="BB155" s="6">
        <v>0</v>
      </c>
      <c r="BD155" s="6">
        <v>0</v>
      </c>
      <c r="BF155" s="6">
        <v>0</v>
      </c>
      <c r="BH155" s="6">
        <v>0</v>
      </c>
      <c r="BJ155" s="6">
        <v>16722.88</v>
      </c>
      <c r="BL155" s="6">
        <v>18878</v>
      </c>
      <c r="BM155" s="6"/>
      <c r="BN155" s="6">
        <v>0</v>
      </c>
      <c r="BO155" s="6"/>
      <c r="BP155" s="6">
        <f t="shared" si="37"/>
        <v>35600.880000000005</v>
      </c>
      <c r="BQ155" s="6"/>
      <c r="BR155" s="223">
        <v>0</v>
      </c>
      <c r="BS155" s="6"/>
      <c r="BT155" s="6">
        <f t="shared" si="38"/>
        <v>0</v>
      </c>
      <c r="BV155" s="6">
        <f t="shared" si="39"/>
        <v>35600.880000000005</v>
      </c>
      <c r="BX155" s="6">
        <f t="shared" si="40"/>
        <v>-35600.880000000005</v>
      </c>
      <c r="BY155" s="6"/>
    </row>
    <row r="156" spans="1:77">
      <c r="A156" s="100"/>
      <c r="B156" s="17" t="s">
        <v>215</v>
      </c>
      <c r="C156"/>
      <c r="D156"/>
      <c r="E156"/>
      <c r="F156"/>
      <c r="G156"/>
      <c r="H156"/>
      <c r="I156"/>
      <c r="J156" s="49"/>
      <c r="K156"/>
      <c r="L156" s="132" t="s">
        <v>203</v>
      </c>
      <c r="M156" s="6"/>
      <c r="O156" s="6"/>
      <c r="P156" s="6">
        <v>0</v>
      </c>
      <c r="Q156" s="6"/>
      <c r="R156" s="6">
        <v>0</v>
      </c>
      <c r="S156" s="6"/>
      <c r="T156" s="6"/>
      <c r="U156" s="6"/>
      <c r="V156" s="6"/>
      <c r="X156" s="6"/>
      <c r="Z156" s="6"/>
      <c r="AB156" s="6"/>
      <c r="AD156" s="6"/>
      <c r="AN156" s="6">
        <v>0</v>
      </c>
      <c r="AP156" s="6">
        <v>0</v>
      </c>
      <c r="AR156" s="6">
        <v>0</v>
      </c>
      <c r="AT156" s="6">
        <v>0</v>
      </c>
      <c r="AV156" s="6">
        <v>0</v>
      </c>
      <c r="AX156" s="6">
        <v>0</v>
      </c>
      <c r="AZ156" s="6">
        <v>0</v>
      </c>
      <c r="BB156" s="6">
        <v>0</v>
      </c>
      <c r="BD156" s="6">
        <v>0</v>
      </c>
      <c r="BF156" s="6">
        <v>0</v>
      </c>
      <c r="BH156" s="6">
        <v>0</v>
      </c>
      <c r="BJ156" s="6">
        <v>0</v>
      </c>
      <c r="BL156" s="6">
        <v>0</v>
      </c>
      <c r="BM156" s="6"/>
      <c r="BN156" s="6">
        <v>0</v>
      </c>
      <c r="BO156" s="6"/>
      <c r="BP156" s="6">
        <f t="shared" si="37"/>
        <v>0</v>
      </c>
      <c r="BQ156" s="6"/>
      <c r="BR156" s="223">
        <v>0</v>
      </c>
      <c r="BS156" s="6"/>
      <c r="BT156" s="6">
        <f t="shared" si="38"/>
        <v>0</v>
      </c>
      <c r="BV156" s="6">
        <f t="shared" si="39"/>
        <v>0</v>
      </c>
      <c r="BX156" s="6">
        <f t="shared" si="40"/>
        <v>0</v>
      </c>
      <c r="BY156" s="6"/>
    </row>
    <row r="157" spans="1:77">
      <c r="A157" s="100"/>
      <c r="B157" s="17" t="s">
        <v>121</v>
      </c>
      <c r="C157"/>
      <c r="D157"/>
      <c r="E157"/>
      <c r="F157"/>
      <c r="G157"/>
      <c r="H157"/>
      <c r="I157"/>
      <c r="J157" s="49"/>
      <c r="K157"/>
      <c r="L157" s="132"/>
      <c r="M157" s="6"/>
      <c r="O157" s="6"/>
      <c r="Q157" s="6"/>
      <c r="R157" s="6">
        <v>470581</v>
      </c>
      <c r="S157" s="6"/>
      <c r="T157" s="6"/>
      <c r="U157" s="6"/>
      <c r="V157" s="6"/>
      <c r="X157" s="6"/>
      <c r="Z157" s="6"/>
      <c r="AB157" s="6"/>
      <c r="AD157" s="6"/>
      <c r="AN157" s="6">
        <f>183926.3+6645.1</f>
        <v>190571.4</v>
      </c>
      <c r="AR157" s="6">
        <v>264856.32000000001</v>
      </c>
      <c r="AV157" s="6">
        <v>38191.68</v>
      </c>
      <c r="AX157" s="6">
        <v>20091.86</v>
      </c>
      <c r="AZ157" s="6">
        <f>15594.76</f>
        <v>15594.76</v>
      </c>
      <c r="BD157" s="6">
        <f>49686.37+302</f>
        <v>49988.37</v>
      </c>
      <c r="BF157" s="6">
        <v>30443.56</v>
      </c>
      <c r="BL157" s="6">
        <f>21258+7631</f>
        <v>28889</v>
      </c>
      <c r="BM157" s="6"/>
      <c r="BN157" s="6"/>
      <c r="BO157" s="6"/>
      <c r="BP157" s="6">
        <f t="shared" si="37"/>
        <v>638626.94999999995</v>
      </c>
      <c r="BQ157" s="6"/>
      <c r="BR157" s="223">
        <v>0</v>
      </c>
      <c r="BS157" s="6"/>
      <c r="BT157" s="6">
        <f t="shared" si="38"/>
        <v>0</v>
      </c>
      <c r="BV157" s="6">
        <f t="shared" si="39"/>
        <v>638626.94999999995</v>
      </c>
      <c r="BX157" s="6">
        <f t="shared" si="40"/>
        <v>-168045.94999999995</v>
      </c>
      <c r="BY157" s="6"/>
    </row>
    <row r="158" spans="1:77">
      <c r="A158" s="100"/>
      <c r="B158" s="17"/>
      <c r="C158"/>
      <c r="D158"/>
      <c r="E158"/>
      <c r="F158"/>
      <c r="G158"/>
      <c r="H158"/>
      <c r="I158"/>
      <c r="J158" s="49"/>
      <c r="K158"/>
      <c r="L158" s="132"/>
      <c r="M158" s="6"/>
      <c r="O158" s="6"/>
      <c r="Q158" s="6"/>
      <c r="S158" s="6"/>
      <c r="T158" s="6"/>
      <c r="U158" s="6"/>
      <c r="V158" s="6"/>
      <c r="X158" s="6"/>
      <c r="Z158" s="6"/>
      <c r="AB158" s="6"/>
      <c r="AD158" s="6"/>
      <c r="BL158" s="6"/>
      <c r="BM158" s="6"/>
      <c r="BN158" s="6"/>
      <c r="BO158" s="6"/>
      <c r="BQ158" s="6"/>
      <c r="BR158" s="223"/>
      <c r="BS158" s="6"/>
      <c r="BT158" s="6">
        <f t="shared" si="38"/>
        <v>0</v>
      </c>
      <c r="BY158" s="6"/>
    </row>
    <row r="159" spans="1:77" s="21" customFormat="1">
      <c r="A159" s="283"/>
      <c r="B159" s="58" t="s">
        <v>183</v>
      </c>
      <c r="J159" s="8"/>
      <c r="L159" s="141"/>
      <c r="M159" s="9"/>
      <c r="N159" s="102">
        <f>SUM(N152:N158)</f>
        <v>0</v>
      </c>
      <c r="O159" s="9"/>
      <c r="P159" s="102">
        <f>SUM(P152:P158)</f>
        <v>0</v>
      </c>
      <c r="Q159" s="9"/>
      <c r="R159" s="102">
        <f>SUM(R152:R158)</f>
        <v>540000</v>
      </c>
      <c r="S159" s="9"/>
      <c r="T159" s="102">
        <f>SUM(T152:T158)</f>
        <v>0</v>
      </c>
      <c r="U159" s="9"/>
      <c r="V159" s="102">
        <f>SUM(V152:V158)</f>
        <v>0</v>
      </c>
      <c r="W159" s="9"/>
      <c r="X159" s="102">
        <f>SUM(X152:X158)</f>
        <v>0</v>
      </c>
      <c r="Y159" s="9"/>
      <c r="Z159" s="102">
        <f>SUM(Z152:Z158)</f>
        <v>0</v>
      </c>
      <c r="AA159" s="9"/>
      <c r="AB159" s="102">
        <f>SUM(AB152:AB158)</f>
        <v>0</v>
      </c>
      <c r="AC159" s="9"/>
      <c r="AD159" s="102">
        <f>SUM(AD152:AD158)</f>
        <v>0</v>
      </c>
      <c r="AE159" s="9"/>
      <c r="AF159" s="102">
        <f>SUM(AF152:AF158)</f>
        <v>0</v>
      </c>
      <c r="AG159" s="9"/>
      <c r="AH159" s="102">
        <f>SUM(AH152:AH158)</f>
        <v>0</v>
      </c>
      <c r="AI159" s="9"/>
      <c r="AJ159" s="102">
        <f>SUM(AJ152:AJ158)</f>
        <v>0</v>
      </c>
      <c r="AK159" s="9"/>
      <c r="AL159" s="102">
        <f>SUM(AL152:AL158)</f>
        <v>69419</v>
      </c>
      <c r="AM159" s="102"/>
      <c r="AN159" s="102">
        <f>SUM(AN152:AN158)</f>
        <v>190571.4</v>
      </c>
      <c r="AO159" s="9"/>
      <c r="AP159" s="102">
        <f>SUM(AP152:AP158)</f>
        <v>0</v>
      </c>
      <c r="AQ159" s="9"/>
      <c r="AR159" s="102">
        <f>SUM(AR152:AR158)</f>
        <v>264856.32000000001</v>
      </c>
      <c r="AS159" s="9"/>
      <c r="AT159" s="102">
        <f>SUM(AT152:AT158)</f>
        <v>0</v>
      </c>
      <c r="AU159" s="9"/>
      <c r="AV159" s="102">
        <f>SUM(AV152:AV158)</f>
        <v>38191.68</v>
      </c>
      <c r="AW159" s="10"/>
      <c r="AX159" s="102">
        <f>SUM(AX152:AX158)</f>
        <v>20091.86</v>
      </c>
      <c r="AY159" s="10"/>
      <c r="AZ159" s="102">
        <f>SUM(AZ152:AZ158)</f>
        <v>146659.06</v>
      </c>
      <c r="BA159" s="10"/>
      <c r="BB159" s="102">
        <f>SUM(BB152:BB158)</f>
        <v>2040.3</v>
      </c>
      <c r="BC159"/>
      <c r="BD159" s="102">
        <f>SUM(BD152:BD158)</f>
        <v>49988.37</v>
      </c>
      <c r="BE159"/>
      <c r="BF159" s="102">
        <f>SUM(BF152:BF158)</f>
        <v>243522.16</v>
      </c>
      <c r="BG159" s="10"/>
      <c r="BH159" s="102">
        <f>SUM(BH152:BH158)</f>
        <v>0</v>
      </c>
      <c r="BI159" s="10"/>
      <c r="BJ159" s="102">
        <f>SUM(BJ152:BJ158)</f>
        <v>172376.32000000001</v>
      </c>
      <c r="BK159" s="10"/>
      <c r="BL159" s="102">
        <f>SUM(BL152:BL158)</f>
        <v>47767</v>
      </c>
      <c r="BM159" s="9"/>
      <c r="BN159" s="102">
        <f>SUM(BN152:BN158)</f>
        <v>0</v>
      </c>
      <c r="BO159" s="9"/>
      <c r="BP159" s="102">
        <f>SUM(BP152:BP158)</f>
        <v>1245483.47</v>
      </c>
      <c r="BQ159" s="9"/>
      <c r="BR159" s="102">
        <f>SUM(BR152:BR158)</f>
        <v>0</v>
      </c>
      <c r="BS159" s="9"/>
      <c r="BT159" s="102">
        <f>SUM(BT152:BT158)</f>
        <v>0</v>
      </c>
      <c r="BU159" s="9"/>
      <c r="BV159" s="102">
        <f>SUM(BV152:BV158)</f>
        <v>1245483.47</v>
      </c>
      <c r="BW159" s="9"/>
      <c r="BX159" s="102">
        <f>SUM(BX152:BX158)</f>
        <v>-705483.47</v>
      </c>
      <c r="BY159" s="9"/>
    </row>
    <row r="160" spans="1:77" s="21" customFormat="1">
      <c r="A160" s="283"/>
      <c r="B160" s="58"/>
      <c r="J160" s="8"/>
      <c r="L160" s="141"/>
      <c r="M160" s="9"/>
      <c r="N160" s="10"/>
      <c r="O160" s="9"/>
      <c r="P160" s="10"/>
      <c r="Q160" s="9"/>
      <c r="R160" s="10"/>
      <c r="S160" s="9"/>
      <c r="T160" s="10"/>
      <c r="U160" s="9"/>
      <c r="V160" s="10"/>
      <c r="W160" s="9"/>
      <c r="X160" s="10"/>
      <c r="Y160" s="9"/>
      <c r="Z160" s="10"/>
      <c r="AA160" s="9"/>
      <c r="AB160" s="10"/>
      <c r="AC160" s="9"/>
      <c r="AD160" s="10"/>
      <c r="AE160" s="9"/>
      <c r="AF160" s="10"/>
      <c r="AG160" s="9"/>
      <c r="AH160" s="10"/>
      <c r="AI160" s="9"/>
      <c r="AJ160" s="10"/>
      <c r="AK160" s="9"/>
      <c r="AL160" s="10"/>
      <c r="AM160" s="9"/>
      <c r="AN160" s="10"/>
      <c r="AO160" s="9"/>
      <c r="AP160" s="10"/>
      <c r="AQ160" s="9"/>
      <c r="AR160" s="10"/>
      <c r="AS160" s="9"/>
      <c r="AT160" s="10"/>
      <c r="AU160" s="9"/>
      <c r="AV160" s="10"/>
      <c r="AW160" s="10"/>
      <c r="AX160" s="10"/>
      <c r="AY160" s="10"/>
      <c r="AZ160" s="10"/>
      <c r="BA160" s="10"/>
      <c r="BB160" s="10"/>
      <c r="BC160"/>
      <c r="BD160" s="10"/>
      <c r="BE160"/>
      <c r="BF160" s="10"/>
      <c r="BG160" s="10"/>
      <c r="BH160" s="10"/>
      <c r="BI160" s="10"/>
      <c r="BJ160" s="10"/>
      <c r="BK160" s="10"/>
      <c r="BL160" s="10"/>
      <c r="BM160" s="9"/>
      <c r="BN160" s="10"/>
      <c r="BO160" s="9"/>
      <c r="BP160" s="10"/>
      <c r="BQ160" s="9"/>
      <c r="BR160" s="10"/>
      <c r="BS160" s="9"/>
      <c r="BT160" s="10"/>
      <c r="BU160" s="9"/>
      <c r="BV160" s="10"/>
      <c r="BW160" s="9"/>
      <c r="BX160" s="10"/>
      <c r="BY160" s="9"/>
    </row>
    <row r="161" spans="1:76">
      <c r="A161" s="58" t="s">
        <v>284</v>
      </c>
      <c r="B161" s="11"/>
      <c r="C161"/>
      <c r="D161"/>
      <c r="E161"/>
      <c r="F161"/>
      <c r="G161"/>
      <c r="H161"/>
      <c r="I161"/>
      <c r="J161"/>
      <c r="K161" s="132"/>
      <c r="L161" s="6"/>
      <c r="M161" s="6"/>
      <c r="O161" s="6"/>
      <c r="Q161" s="6"/>
      <c r="S161" s="6"/>
      <c r="T161" s="6"/>
      <c r="U161" s="6"/>
      <c r="V161" s="6"/>
      <c r="X161" s="6"/>
      <c r="Z161" s="6"/>
      <c r="AB161" s="6"/>
      <c r="AD161" s="6"/>
      <c r="BL161" s="6"/>
      <c r="BM161" s="6"/>
      <c r="BN161" s="6"/>
      <c r="BO161" s="6"/>
      <c r="BQ161" s="6"/>
      <c r="BR161" s="6"/>
      <c r="BS161" s="6"/>
      <c r="BX161" s="4"/>
    </row>
    <row r="162" spans="1:76">
      <c r="A162" s="58"/>
      <c r="B162" s="11" t="s">
        <v>270</v>
      </c>
      <c r="C162"/>
      <c r="D162"/>
      <c r="E162"/>
      <c r="F162"/>
      <c r="G162"/>
      <c r="H162"/>
      <c r="I162"/>
      <c r="J162"/>
      <c r="K162" s="132" t="s">
        <v>202</v>
      </c>
      <c r="L162" s="6"/>
      <c r="M162" s="6">
        <v>0</v>
      </c>
      <c r="O162" s="6">
        <v>60000</v>
      </c>
      <c r="Q162" s="6">
        <f>+M162+O162</f>
        <v>60000</v>
      </c>
      <c r="R162" s="6">
        <v>60000</v>
      </c>
      <c r="S162" s="6"/>
      <c r="T162" s="6">
        <v>0</v>
      </c>
      <c r="U162" s="6"/>
      <c r="V162" s="4"/>
      <c r="X162" s="6">
        <v>0</v>
      </c>
      <c r="Z162" s="6">
        <v>0</v>
      </c>
      <c r="AB162" s="6">
        <v>0</v>
      </c>
      <c r="AD162" s="6">
        <v>0</v>
      </c>
      <c r="AF162" s="6">
        <v>0</v>
      </c>
      <c r="AH162" s="6">
        <v>0</v>
      </c>
      <c r="AJ162" s="6">
        <v>0</v>
      </c>
      <c r="AN162" s="6">
        <v>0</v>
      </c>
      <c r="AP162" s="6">
        <v>7500</v>
      </c>
      <c r="AR162" s="6">
        <v>0</v>
      </c>
      <c r="AT162" s="6">
        <v>7500</v>
      </c>
      <c r="AV162" s="6">
        <v>20486.25</v>
      </c>
      <c r="AX162" s="6">
        <v>0</v>
      </c>
      <c r="AZ162" s="6">
        <v>0</v>
      </c>
      <c r="BD162" s="6">
        <v>110182.74</v>
      </c>
      <c r="BJ162" s="6">
        <v>0</v>
      </c>
      <c r="BL162" s="6"/>
      <c r="BM162" s="6"/>
      <c r="BN162" s="6">
        <v>0</v>
      </c>
      <c r="BO162" s="6"/>
      <c r="BP162" s="6">
        <f>SUM(T162:BO162)</f>
        <v>145668.99</v>
      </c>
      <c r="BQ162" s="6"/>
      <c r="BR162" s="6">
        <v>0</v>
      </c>
      <c r="BS162" s="6"/>
      <c r="BT162" s="6">
        <v>225000</v>
      </c>
      <c r="BV162" s="6">
        <f>+BP162+BT162</f>
        <v>370668.99</v>
      </c>
      <c r="BX162" s="6">
        <f t="shared" ref="BX162:BX181" si="41">+R162-BV162</f>
        <v>-310668.99</v>
      </c>
    </row>
    <row r="163" spans="1:76">
      <c r="A163" s="58"/>
      <c r="B163" s="11" t="s">
        <v>271</v>
      </c>
      <c r="C163"/>
      <c r="D163"/>
      <c r="E163"/>
      <c r="F163"/>
      <c r="G163"/>
      <c r="H163"/>
      <c r="I163"/>
      <c r="J163"/>
      <c r="K163" s="132" t="s">
        <v>202</v>
      </c>
      <c r="L163" s="6"/>
      <c r="M163" s="6">
        <v>7500</v>
      </c>
      <c r="O163" s="6">
        <f>35000-M163</f>
        <v>27500</v>
      </c>
      <c r="Q163" s="6">
        <f>+M163+O163</f>
        <v>35000</v>
      </c>
      <c r="R163" s="6">
        <v>35000</v>
      </c>
      <c r="S163" s="6"/>
      <c r="T163" s="6">
        <v>0</v>
      </c>
      <c r="U163" s="6"/>
      <c r="V163" s="6">
        <v>0</v>
      </c>
      <c r="X163" s="6">
        <v>0</v>
      </c>
      <c r="Z163" s="6">
        <v>0</v>
      </c>
      <c r="AB163" s="6">
        <v>0</v>
      </c>
      <c r="AD163" s="6">
        <v>0</v>
      </c>
      <c r="AF163" s="6">
        <v>0</v>
      </c>
      <c r="AH163" s="6">
        <v>0</v>
      </c>
      <c r="AJ163" s="6">
        <v>0</v>
      </c>
      <c r="AN163" s="6">
        <v>0</v>
      </c>
      <c r="AP163" s="6">
        <v>10517.87</v>
      </c>
      <c r="AR163" s="6">
        <v>0</v>
      </c>
      <c r="AT163" s="6">
        <v>0</v>
      </c>
      <c r="AV163" s="6">
        <v>0</v>
      </c>
      <c r="AX163" s="6">
        <v>0</v>
      </c>
      <c r="AZ163" s="6">
        <v>10602.45</v>
      </c>
      <c r="BB163" s="22">
        <v>37563.519999999997</v>
      </c>
      <c r="BD163" s="6">
        <v>0</v>
      </c>
      <c r="BF163" s="6">
        <v>0</v>
      </c>
      <c r="BJ163" s="6">
        <v>0</v>
      </c>
      <c r="BL163" s="6">
        <v>0</v>
      </c>
      <c r="BM163" s="6"/>
      <c r="BN163" s="6">
        <v>0</v>
      </c>
      <c r="BO163" s="6"/>
      <c r="BP163" s="6">
        <f>SUM(T163:BO163)</f>
        <v>58683.839999999997</v>
      </c>
      <c r="BQ163" s="6"/>
      <c r="BR163" s="6">
        <v>0</v>
      </c>
      <c r="BS163" s="6"/>
      <c r="BT163" s="6">
        <f>IF(+R163-BP163+BR163&gt;0,R163-BP163+BR163,0)</f>
        <v>0</v>
      </c>
      <c r="BV163" s="6">
        <f>+BP163+BT163</f>
        <v>58683.839999999997</v>
      </c>
      <c r="BX163" s="6">
        <f t="shared" si="41"/>
        <v>-23683.839999999997</v>
      </c>
    </row>
    <row r="164" spans="1:76">
      <c r="A164" s="58"/>
      <c r="B164" s="11" t="s">
        <v>343</v>
      </c>
      <c r="C164"/>
      <c r="D164"/>
      <c r="E164"/>
      <c r="F164"/>
      <c r="G164"/>
      <c r="H164"/>
      <c r="I164"/>
      <c r="J164"/>
      <c r="K164" s="132" t="s">
        <v>202</v>
      </c>
      <c r="L164" s="250">
        <v>44468</v>
      </c>
      <c r="M164" s="6">
        <f>1992500</f>
        <v>1992500</v>
      </c>
      <c r="O164" s="6">
        <f>2200000-M164</f>
        <v>207500</v>
      </c>
      <c r="Q164" s="6">
        <f>+M164+O164</f>
        <v>2200000</v>
      </c>
      <c r="R164" s="6">
        <v>1604313</v>
      </c>
      <c r="S164" s="6"/>
      <c r="T164" s="6">
        <v>0</v>
      </c>
      <c r="U164" s="6"/>
      <c r="V164" s="6">
        <v>0</v>
      </c>
      <c r="X164" s="6">
        <v>0</v>
      </c>
      <c r="Z164" s="6">
        <v>0</v>
      </c>
      <c r="AB164" s="6">
        <v>0</v>
      </c>
      <c r="AD164" s="6">
        <v>0</v>
      </c>
      <c r="AF164" s="6">
        <v>0</v>
      </c>
      <c r="AH164" s="6">
        <v>0</v>
      </c>
      <c r="AJ164" s="6">
        <v>0</v>
      </c>
      <c r="AN164" s="6">
        <v>0</v>
      </c>
      <c r="AR164" s="6">
        <v>0</v>
      </c>
      <c r="AT164" s="6">
        <v>0</v>
      </c>
      <c r="AV164" s="6">
        <v>0</v>
      </c>
      <c r="AX164" s="6">
        <v>0</v>
      </c>
      <c r="AZ164" s="6">
        <v>0</v>
      </c>
      <c r="BB164" s="245">
        <f>4233+9786+3968+65917+481221+352403-1</f>
        <v>917527</v>
      </c>
      <c r="BD164" s="6">
        <v>0</v>
      </c>
      <c r="BF164" s="6">
        <v>0</v>
      </c>
      <c r="BL164" s="6">
        <v>356422</v>
      </c>
      <c r="BM164" s="6"/>
      <c r="BN164" s="6"/>
      <c r="BO164" s="6"/>
      <c r="BP164" s="6">
        <f>SUM(T164:BO164)</f>
        <v>1273949</v>
      </c>
      <c r="BQ164" s="6"/>
      <c r="BR164" s="6"/>
      <c r="BS164" s="6"/>
      <c r="BT164" s="6">
        <f>IF(+R164-BP164+BR164&gt;0,R164-BP164+BR164,0)</f>
        <v>330364</v>
      </c>
      <c r="BV164" s="6">
        <f>+BP164+BT164</f>
        <v>1604313</v>
      </c>
      <c r="BX164" s="6">
        <f t="shared" si="41"/>
        <v>0</v>
      </c>
    </row>
    <row r="165" spans="1:76">
      <c r="A165" s="58"/>
      <c r="B165" s="11" t="s">
        <v>344</v>
      </c>
      <c r="C165"/>
      <c r="D165"/>
      <c r="E165"/>
      <c r="F165"/>
      <c r="G165"/>
      <c r="H165"/>
      <c r="I165"/>
      <c r="J165"/>
      <c r="K165" s="132"/>
      <c r="L165" s="250">
        <v>43853</v>
      </c>
      <c r="M165" s="6"/>
      <c r="O165" s="6"/>
      <c r="Q165" s="6"/>
      <c r="R165" s="6">
        <v>756363</v>
      </c>
      <c r="S165" s="6"/>
      <c r="T165" s="6"/>
      <c r="U165" s="6"/>
      <c r="V165" s="6"/>
      <c r="X165" s="6"/>
      <c r="Z165" s="6"/>
      <c r="AB165" s="6"/>
      <c r="AD165" s="6"/>
      <c r="BB165" s="6">
        <f>18675+43024+15924+156792+116797-1</f>
        <v>351211</v>
      </c>
      <c r="BL165" s="6">
        <v>413244</v>
      </c>
      <c r="BM165" s="6"/>
      <c r="BN165" s="6"/>
      <c r="BO165" s="6"/>
      <c r="BP165" s="6">
        <f t="shared" ref="BP165:BP181" si="42">SUM(T165:BO165)</f>
        <v>764455</v>
      </c>
      <c r="BQ165" s="6"/>
      <c r="BR165" s="6"/>
      <c r="BS165" s="6"/>
      <c r="BT165" s="6">
        <f t="shared" ref="BT165:BT176" si="43">IF(+R165-BP165+BR165&gt;0,R165-BP165+BR165,0)</f>
        <v>0</v>
      </c>
      <c r="BV165" s="6">
        <f t="shared" ref="BV165:BV181" si="44">+BP165+BT165</f>
        <v>764455</v>
      </c>
      <c r="BX165" s="6">
        <f t="shared" si="41"/>
        <v>-8092</v>
      </c>
    </row>
    <row r="166" spans="1:76">
      <c r="A166" s="58"/>
      <c r="B166" s="11" t="s">
        <v>345</v>
      </c>
      <c r="C166"/>
      <c r="D166"/>
      <c r="E166"/>
      <c r="F166"/>
      <c r="G166"/>
      <c r="H166"/>
      <c r="I166"/>
      <c r="J166"/>
      <c r="K166" s="132"/>
      <c r="L166" s="250">
        <v>60299</v>
      </c>
      <c r="M166" s="6"/>
      <c r="O166" s="6"/>
      <c r="Q166" s="6"/>
      <c r="R166" s="6">
        <v>21072</v>
      </c>
      <c r="S166" s="6"/>
      <c r="T166" s="6"/>
      <c r="U166" s="6"/>
      <c r="V166" s="6"/>
      <c r="X166" s="6"/>
      <c r="Z166" s="6"/>
      <c r="AB166" s="6"/>
      <c r="AD166" s="6"/>
      <c r="BL166" s="6">
        <v>12</v>
      </c>
      <c r="BM166" s="6"/>
      <c r="BN166" s="6"/>
      <c r="BO166" s="6"/>
      <c r="BP166" s="6">
        <f t="shared" si="42"/>
        <v>12</v>
      </c>
      <c r="BQ166" s="6"/>
      <c r="BR166" s="6"/>
      <c r="BS166" s="6"/>
      <c r="BT166" s="6">
        <f t="shared" si="43"/>
        <v>21060</v>
      </c>
      <c r="BV166" s="6">
        <f t="shared" si="44"/>
        <v>21072</v>
      </c>
      <c r="BX166" s="6">
        <f t="shared" si="41"/>
        <v>0</v>
      </c>
    </row>
    <row r="167" spans="1:76">
      <c r="A167" s="58"/>
      <c r="B167" s="11" t="s">
        <v>346</v>
      </c>
      <c r="C167"/>
      <c r="D167"/>
      <c r="E167"/>
      <c r="F167"/>
      <c r="G167"/>
      <c r="H167"/>
      <c r="I167"/>
      <c r="J167"/>
      <c r="K167" s="132"/>
      <c r="L167" s="250">
        <v>45630</v>
      </c>
      <c r="M167" s="6"/>
      <c r="O167" s="6"/>
      <c r="Q167" s="6"/>
      <c r="R167" s="6">
        <v>136716</v>
      </c>
      <c r="S167" s="6"/>
      <c r="T167" s="6"/>
      <c r="U167" s="6"/>
      <c r="V167" s="6"/>
      <c r="X167" s="6"/>
      <c r="Z167" s="6"/>
      <c r="AB167" s="6"/>
      <c r="AD167" s="6"/>
      <c r="BB167" s="6">
        <f>800+3344+41073+29332+7049</f>
        <v>81598</v>
      </c>
      <c r="BL167" s="6">
        <v>83542</v>
      </c>
      <c r="BM167" s="6"/>
      <c r="BN167" s="6"/>
      <c r="BO167" s="6"/>
      <c r="BP167" s="6">
        <f t="shared" si="42"/>
        <v>165140</v>
      </c>
      <c r="BQ167" s="6"/>
      <c r="BR167" s="6"/>
      <c r="BS167" s="6"/>
      <c r="BT167" s="6">
        <f t="shared" si="43"/>
        <v>0</v>
      </c>
      <c r="BV167" s="6">
        <f t="shared" si="44"/>
        <v>165140</v>
      </c>
      <c r="BX167" s="6">
        <f t="shared" si="41"/>
        <v>-28424</v>
      </c>
    </row>
    <row r="168" spans="1:76">
      <c r="A168" s="58"/>
      <c r="B168" s="11" t="s">
        <v>347</v>
      </c>
      <c r="C168"/>
      <c r="D168"/>
      <c r="E168"/>
      <c r="F168"/>
      <c r="G168"/>
      <c r="H168"/>
      <c r="I168"/>
      <c r="J168"/>
      <c r="K168" s="132"/>
      <c r="L168" s="250">
        <v>45631</v>
      </c>
      <c r="M168" s="6"/>
      <c r="O168" s="6"/>
      <c r="Q168" s="6"/>
      <c r="R168" s="6">
        <v>418906</v>
      </c>
      <c r="S168" s="6"/>
      <c r="T168" s="6"/>
      <c r="U168" s="6"/>
      <c r="V168" s="6"/>
      <c r="X168" s="6"/>
      <c r="Z168" s="6"/>
      <c r="AB168" s="6"/>
      <c r="AD168" s="6"/>
      <c r="BB168" s="6">
        <f>535+49417+54003+86107+62011-1</f>
        <v>252072</v>
      </c>
      <c r="BD168" s="6">
        <v>0</v>
      </c>
      <c r="BL168" s="6">
        <v>135113</v>
      </c>
      <c r="BM168" s="6"/>
      <c r="BN168" s="6"/>
      <c r="BO168" s="6"/>
      <c r="BP168" s="6">
        <f t="shared" si="42"/>
        <v>387185</v>
      </c>
      <c r="BQ168" s="6"/>
      <c r="BR168" s="6"/>
      <c r="BS168" s="6"/>
      <c r="BT168" s="6">
        <f t="shared" si="43"/>
        <v>31721</v>
      </c>
      <c r="BV168" s="6">
        <f t="shared" si="44"/>
        <v>418906</v>
      </c>
      <c r="BX168" s="6">
        <f t="shared" si="41"/>
        <v>0</v>
      </c>
    </row>
    <row r="169" spans="1:76">
      <c r="A169" s="58"/>
      <c r="B169" s="11" t="s">
        <v>348</v>
      </c>
      <c r="C169"/>
      <c r="D169"/>
      <c r="E169"/>
      <c r="F169"/>
      <c r="G169"/>
      <c r="H169"/>
      <c r="I169"/>
      <c r="J169"/>
      <c r="K169" s="132"/>
      <c r="L169" s="250">
        <v>45632</v>
      </c>
      <c r="M169" s="6"/>
      <c r="O169" s="6"/>
      <c r="Q169" s="6"/>
      <c r="R169" s="6">
        <v>80018</v>
      </c>
      <c r="S169" s="6"/>
      <c r="T169" s="6"/>
      <c r="U169" s="6"/>
      <c r="V169" s="6"/>
      <c r="X169" s="6"/>
      <c r="Z169" s="6"/>
      <c r="AB169" s="6"/>
      <c r="AD169" s="6"/>
      <c r="BB169" s="6">
        <f>2216+5019+7461+1503+34872</f>
        <v>51071</v>
      </c>
      <c r="BL169" s="6">
        <v>9422</v>
      </c>
      <c r="BM169" s="6"/>
      <c r="BN169" s="6"/>
      <c r="BO169" s="6"/>
      <c r="BP169" s="6">
        <f t="shared" si="42"/>
        <v>60493</v>
      </c>
      <c r="BQ169" s="6"/>
      <c r="BR169" s="6"/>
      <c r="BS169" s="6"/>
      <c r="BT169" s="6">
        <f t="shared" si="43"/>
        <v>19525</v>
      </c>
      <c r="BV169" s="6">
        <f t="shared" si="44"/>
        <v>80018</v>
      </c>
      <c r="BX169" s="6">
        <f t="shared" si="41"/>
        <v>0</v>
      </c>
    </row>
    <row r="170" spans="1:76">
      <c r="A170" s="58"/>
      <c r="B170" s="11" t="s">
        <v>349</v>
      </c>
      <c r="C170"/>
      <c r="D170"/>
      <c r="E170"/>
      <c r="F170"/>
      <c r="G170"/>
      <c r="H170"/>
      <c r="I170"/>
      <c r="J170"/>
      <c r="K170" s="132"/>
      <c r="L170" s="250">
        <v>45633</v>
      </c>
      <c r="M170" s="6"/>
      <c r="O170" s="6"/>
      <c r="Q170" s="6"/>
      <c r="R170" s="6">
        <v>50029</v>
      </c>
      <c r="S170" s="6"/>
      <c r="T170" s="6"/>
      <c r="U170" s="6"/>
      <c r="V170" s="6"/>
      <c r="X170" s="6"/>
      <c r="Z170" s="6"/>
      <c r="AB170" s="6"/>
      <c r="AD170" s="6"/>
      <c r="BB170" s="6">
        <f>1180+2747+5434+6643+21028</f>
        <v>37032</v>
      </c>
      <c r="BL170" s="6">
        <v>4223</v>
      </c>
      <c r="BM170" s="6"/>
      <c r="BN170" s="6"/>
      <c r="BO170" s="6"/>
      <c r="BP170" s="6">
        <f t="shared" si="42"/>
        <v>41255</v>
      </c>
      <c r="BQ170" s="6"/>
      <c r="BR170" s="6"/>
      <c r="BS170" s="6"/>
      <c r="BT170" s="6">
        <f t="shared" si="43"/>
        <v>8774</v>
      </c>
      <c r="BV170" s="6">
        <f t="shared" si="44"/>
        <v>50029</v>
      </c>
      <c r="BX170" s="6">
        <f t="shared" si="41"/>
        <v>0</v>
      </c>
    </row>
    <row r="171" spans="1:76">
      <c r="A171" s="58"/>
      <c r="B171" s="11" t="s">
        <v>350</v>
      </c>
      <c r="C171"/>
      <c r="D171"/>
      <c r="E171"/>
      <c r="F171"/>
      <c r="G171"/>
      <c r="H171"/>
      <c r="I171"/>
      <c r="J171"/>
      <c r="K171" s="132"/>
      <c r="L171" s="250">
        <v>45634</v>
      </c>
      <c r="M171" s="6"/>
      <c r="O171" s="6"/>
      <c r="Q171" s="6"/>
      <c r="R171" s="6">
        <v>61757</v>
      </c>
      <c r="S171" s="6"/>
      <c r="T171" s="6"/>
      <c r="U171" s="6"/>
      <c r="V171" s="6"/>
      <c r="X171" s="6"/>
      <c r="Z171" s="6"/>
      <c r="AB171" s="6"/>
      <c r="AD171" s="6"/>
      <c r="BB171" s="6">
        <f>1072+8128+10987+8103+2831</f>
        <v>31121</v>
      </c>
      <c r="BL171" s="6">
        <v>33409</v>
      </c>
      <c r="BM171" s="6"/>
      <c r="BN171" s="6"/>
      <c r="BO171" s="6"/>
      <c r="BP171" s="6">
        <f t="shared" si="42"/>
        <v>64530</v>
      </c>
      <c r="BQ171" s="6"/>
      <c r="BR171" s="6"/>
      <c r="BS171" s="6"/>
      <c r="BT171" s="6">
        <f t="shared" si="43"/>
        <v>0</v>
      </c>
      <c r="BV171" s="6">
        <f t="shared" si="44"/>
        <v>64530</v>
      </c>
      <c r="BX171" s="6">
        <f t="shared" si="41"/>
        <v>-2773</v>
      </c>
    </row>
    <row r="172" spans="1:76">
      <c r="A172" s="58"/>
      <c r="B172" s="11" t="s">
        <v>351</v>
      </c>
      <c r="C172"/>
      <c r="D172"/>
      <c r="E172"/>
      <c r="F172"/>
      <c r="G172"/>
      <c r="H172"/>
      <c r="I172"/>
      <c r="J172"/>
      <c r="K172" s="132"/>
      <c r="L172" s="250">
        <v>45635</v>
      </c>
      <c r="M172" s="6"/>
      <c r="O172" s="6"/>
      <c r="Q172" s="6"/>
      <c r="R172" s="6">
        <v>21962</v>
      </c>
      <c r="S172" s="6"/>
      <c r="T172" s="6"/>
      <c r="U172" s="6"/>
      <c r="V172" s="6"/>
      <c r="X172" s="6"/>
      <c r="Z172" s="6"/>
      <c r="AB172" s="6"/>
      <c r="AD172" s="6"/>
      <c r="BB172" s="6">
        <f>1397+1090+360</f>
        <v>2847</v>
      </c>
      <c r="BL172" s="6">
        <v>3400</v>
      </c>
      <c r="BM172" s="6"/>
      <c r="BN172" s="6"/>
      <c r="BO172" s="6"/>
      <c r="BP172" s="6">
        <f t="shared" si="42"/>
        <v>6247</v>
      </c>
      <c r="BQ172" s="6"/>
      <c r="BR172" s="6"/>
      <c r="BS172" s="6"/>
      <c r="BT172" s="6">
        <f t="shared" si="43"/>
        <v>15715</v>
      </c>
      <c r="BV172" s="6">
        <f t="shared" si="44"/>
        <v>21962</v>
      </c>
      <c r="BX172" s="6">
        <f t="shared" si="41"/>
        <v>0</v>
      </c>
    </row>
    <row r="173" spans="1:76">
      <c r="A173" s="58"/>
      <c r="B173" s="11" t="s">
        <v>352</v>
      </c>
      <c r="C173"/>
      <c r="D173"/>
      <c r="E173"/>
      <c r="F173"/>
      <c r="G173"/>
      <c r="H173"/>
      <c r="I173"/>
      <c r="J173"/>
      <c r="K173" s="132"/>
      <c r="L173" s="250">
        <v>45636</v>
      </c>
      <c r="M173" s="6"/>
      <c r="O173" s="6"/>
      <c r="Q173" s="6"/>
      <c r="R173" s="6">
        <v>125513</v>
      </c>
      <c r="S173" s="6"/>
      <c r="T173" s="6"/>
      <c r="U173" s="6"/>
      <c r="V173" s="6"/>
      <c r="X173" s="6"/>
      <c r="Z173" s="6"/>
      <c r="AB173" s="6"/>
      <c r="AD173" s="6"/>
      <c r="BB173" s="6">
        <f>21486+9708+3513+13253</f>
        <v>47960</v>
      </c>
      <c r="BL173" s="6">
        <v>43469</v>
      </c>
      <c r="BM173" s="6"/>
      <c r="BN173" s="6"/>
      <c r="BO173" s="6"/>
      <c r="BP173" s="6">
        <f t="shared" si="42"/>
        <v>91429</v>
      </c>
      <c r="BQ173" s="6"/>
      <c r="BR173" s="6"/>
      <c r="BS173" s="6"/>
      <c r="BT173" s="6">
        <f t="shared" si="43"/>
        <v>34084</v>
      </c>
      <c r="BV173" s="6">
        <f t="shared" si="44"/>
        <v>125513</v>
      </c>
      <c r="BX173" s="6">
        <f t="shared" si="41"/>
        <v>0</v>
      </c>
    </row>
    <row r="174" spans="1:76">
      <c r="A174" s="58"/>
      <c r="B174" s="11" t="s">
        <v>353</v>
      </c>
      <c r="C174"/>
      <c r="D174"/>
      <c r="E174"/>
      <c r="F174"/>
      <c r="G174"/>
      <c r="H174"/>
      <c r="I174"/>
      <c r="J174"/>
      <c r="K174" s="132"/>
      <c r="L174" s="250">
        <v>45637</v>
      </c>
      <c r="M174" s="6"/>
      <c r="O174" s="6"/>
      <c r="Q174" s="6"/>
      <c r="R174" s="6">
        <v>259130</v>
      </c>
      <c r="S174" s="6"/>
      <c r="T174" s="6"/>
      <c r="U174" s="6"/>
      <c r="V174" s="6"/>
      <c r="X174" s="6"/>
      <c r="Z174" s="6"/>
      <c r="AB174" s="6"/>
      <c r="AD174" s="6"/>
      <c r="BB174" s="6">
        <f>152+47111+9834+24500+36357</f>
        <v>117954</v>
      </c>
      <c r="BL174" s="6">
        <v>147961</v>
      </c>
      <c r="BM174" s="6"/>
      <c r="BN174" s="6"/>
      <c r="BO174" s="6"/>
      <c r="BP174" s="6">
        <f t="shared" si="42"/>
        <v>265915</v>
      </c>
      <c r="BQ174" s="6"/>
      <c r="BR174" s="6"/>
      <c r="BS174" s="6"/>
      <c r="BT174" s="6">
        <f t="shared" si="43"/>
        <v>0</v>
      </c>
      <c r="BV174" s="6">
        <f t="shared" si="44"/>
        <v>265915</v>
      </c>
      <c r="BX174" s="6">
        <f t="shared" si="41"/>
        <v>-6785</v>
      </c>
    </row>
    <row r="175" spans="1:76">
      <c r="A175" s="58"/>
      <c r="B175" s="11" t="s">
        <v>354</v>
      </c>
      <c r="C175"/>
      <c r="D175"/>
      <c r="E175"/>
      <c r="F175"/>
      <c r="G175"/>
      <c r="H175"/>
      <c r="I175"/>
      <c r="J175"/>
      <c r="K175" s="132"/>
      <c r="L175" s="250">
        <v>45638</v>
      </c>
      <c r="M175" s="6"/>
      <c r="O175" s="6"/>
      <c r="Q175" s="6"/>
      <c r="R175" s="6">
        <v>30502</v>
      </c>
      <c r="S175" s="6"/>
      <c r="T175" s="6"/>
      <c r="U175" s="6"/>
      <c r="V175" s="6"/>
      <c r="X175" s="6"/>
      <c r="Z175" s="6"/>
      <c r="AB175" s="6"/>
      <c r="AD175" s="6"/>
      <c r="BB175" s="6">
        <f>1610+1653+233+2316</f>
        <v>5812</v>
      </c>
      <c r="BL175" s="6">
        <v>14739</v>
      </c>
      <c r="BM175" s="6"/>
      <c r="BN175" s="6"/>
      <c r="BO175" s="6"/>
      <c r="BP175" s="6">
        <f t="shared" si="42"/>
        <v>20551</v>
      </c>
      <c r="BQ175" s="6"/>
      <c r="BR175" s="6"/>
      <c r="BS175" s="6"/>
      <c r="BT175" s="6">
        <f t="shared" si="43"/>
        <v>9951</v>
      </c>
      <c r="BV175" s="6">
        <f t="shared" si="44"/>
        <v>30502</v>
      </c>
      <c r="BX175" s="6">
        <f t="shared" si="41"/>
        <v>0</v>
      </c>
    </row>
    <row r="176" spans="1:76">
      <c r="A176" s="58"/>
      <c r="B176" s="11" t="s">
        <v>355</v>
      </c>
      <c r="C176"/>
      <c r="D176"/>
      <c r="E176"/>
      <c r="F176"/>
      <c r="G176"/>
      <c r="H176"/>
      <c r="I176"/>
      <c r="J176"/>
      <c r="K176" s="132"/>
      <c r="L176" s="250">
        <v>45639</v>
      </c>
      <c r="M176" s="6"/>
      <c r="O176" s="6"/>
      <c r="Q176" s="6"/>
      <c r="R176" s="6">
        <v>12923</v>
      </c>
      <c r="S176" s="6"/>
      <c r="T176" s="6"/>
      <c r="U176" s="6"/>
      <c r="V176" s="6"/>
      <c r="X176" s="6"/>
      <c r="Z176" s="6"/>
      <c r="AB176" s="6"/>
      <c r="AD176" s="6"/>
      <c r="BB176" s="6">
        <f>177+793+608+489</f>
        <v>2067</v>
      </c>
      <c r="BL176" s="6">
        <v>2705</v>
      </c>
      <c r="BM176" s="6"/>
      <c r="BN176" s="6"/>
      <c r="BO176" s="6"/>
      <c r="BP176" s="6">
        <f t="shared" si="42"/>
        <v>4772</v>
      </c>
      <c r="BQ176" s="6"/>
      <c r="BR176" s="6"/>
      <c r="BS176" s="6"/>
      <c r="BT176" s="6">
        <f t="shared" si="43"/>
        <v>8151</v>
      </c>
      <c r="BV176" s="6">
        <f t="shared" si="44"/>
        <v>12923</v>
      </c>
      <c r="BX176" s="6">
        <f t="shared" si="41"/>
        <v>0</v>
      </c>
    </row>
    <row r="177" spans="1:77">
      <c r="A177" s="58"/>
      <c r="B177" s="11" t="s">
        <v>356</v>
      </c>
      <c r="C177"/>
      <c r="D177"/>
      <c r="E177"/>
      <c r="F177"/>
      <c r="G177"/>
      <c r="H177"/>
      <c r="I177"/>
      <c r="J177"/>
      <c r="K177" s="132"/>
      <c r="L177" s="250">
        <v>45642</v>
      </c>
      <c r="M177" s="6"/>
      <c r="O177" s="6"/>
      <c r="Q177" s="6"/>
      <c r="R177" s="6">
        <v>29543</v>
      </c>
      <c r="S177" s="6"/>
      <c r="T177" s="6"/>
      <c r="U177" s="6"/>
      <c r="V177" s="6"/>
      <c r="X177" s="6"/>
      <c r="Z177" s="6"/>
      <c r="AB177" s="6"/>
      <c r="AD177" s="6"/>
      <c r="BB177" s="6">
        <f>3035+4465+920+3264</f>
        <v>11684</v>
      </c>
      <c r="BL177" s="6">
        <v>14895</v>
      </c>
      <c r="BM177" s="6"/>
      <c r="BN177" s="6"/>
      <c r="BO177" s="6"/>
      <c r="BP177" s="6">
        <f t="shared" si="42"/>
        <v>26579</v>
      </c>
      <c r="BQ177" s="6"/>
      <c r="BR177" s="6"/>
      <c r="BS177" s="6"/>
      <c r="BT177" s="6">
        <f>IF(+R177-BP177+BR177&gt;0,R177-BP177+BR177,0)</f>
        <v>2964</v>
      </c>
      <c r="BV177" s="6">
        <f t="shared" si="44"/>
        <v>29543</v>
      </c>
      <c r="BX177" s="6">
        <f t="shared" si="41"/>
        <v>0</v>
      </c>
    </row>
    <row r="178" spans="1:77">
      <c r="A178" s="58"/>
      <c r="B178" s="11" t="s">
        <v>357</v>
      </c>
      <c r="C178"/>
      <c r="D178"/>
      <c r="E178"/>
      <c r="F178"/>
      <c r="G178"/>
      <c r="H178"/>
      <c r="I178"/>
      <c r="J178"/>
      <c r="K178" s="132"/>
      <c r="L178" s="250">
        <v>45643</v>
      </c>
      <c r="M178" s="6"/>
      <c r="O178" s="6"/>
      <c r="Q178" s="6"/>
      <c r="R178" s="6">
        <v>31391</v>
      </c>
      <c r="S178" s="6"/>
      <c r="T178" s="6"/>
      <c r="U178" s="6"/>
      <c r="V178" s="6"/>
      <c r="X178" s="6"/>
      <c r="Z178" s="6"/>
      <c r="AB178" s="6"/>
      <c r="AD178" s="6"/>
      <c r="BB178" s="6">
        <f>4715+8109+152+8983</f>
        <v>21959</v>
      </c>
      <c r="BL178" s="6">
        <v>9708</v>
      </c>
      <c r="BM178" s="6"/>
      <c r="BN178" s="6"/>
      <c r="BO178" s="6"/>
      <c r="BP178" s="6">
        <f t="shared" si="42"/>
        <v>31667</v>
      </c>
      <c r="BQ178" s="6"/>
      <c r="BR178" s="6"/>
      <c r="BS178" s="6"/>
      <c r="BT178" s="6">
        <f>IF(+R178-BP178+BR178&gt;0,R178-BP178+BR178,0)</f>
        <v>0</v>
      </c>
      <c r="BV178" s="6">
        <f t="shared" si="44"/>
        <v>31667</v>
      </c>
      <c r="BX178" s="6">
        <f t="shared" si="41"/>
        <v>-276</v>
      </c>
    </row>
    <row r="179" spans="1:77">
      <c r="A179" s="58"/>
      <c r="B179" s="11" t="s">
        <v>358</v>
      </c>
      <c r="C179"/>
      <c r="D179"/>
      <c r="E179"/>
      <c r="F179"/>
      <c r="G179"/>
      <c r="H179"/>
      <c r="I179"/>
      <c r="J179"/>
      <c r="K179" s="132"/>
      <c r="L179" s="250">
        <v>45644</v>
      </c>
      <c r="M179" s="6"/>
      <c r="O179" s="6"/>
      <c r="Q179" s="6"/>
      <c r="R179" s="6">
        <v>22237</v>
      </c>
      <c r="S179" s="6"/>
      <c r="T179" s="6"/>
      <c r="U179" s="6"/>
      <c r="V179" s="6"/>
      <c r="X179" s="6"/>
      <c r="Z179" s="6"/>
      <c r="AB179" s="6"/>
      <c r="AD179" s="6"/>
      <c r="BB179" s="6">
        <f>600+1287+1507+10660</f>
        <v>14054</v>
      </c>
      <c r="BL179" s="6">
        <v>4465</v>
      </c>
      <c r="BM179" s="6"/>
      <c r="BN179" s="6"/>
      <c r="BO179" s="6"/>
      <c r="BP179" s="6">
        <f t="shared" si="42"/>
        <v>18519</v>
      </c>
      <c r="BQ179" s="6"/>
      <c r="BR179" s="6"/>
      <c r="BS179" s="6"/>
      <c r="BT179" s="6">
        <f>IF(+R179-BP179+BR179&gt;0,R179-BP179+BR179,0)</f>
        <v>3718</v>
      </c>
      <c r="BV179" s="6">
        <f t="shared" si="44"/>
        <v>22237</v>
      </c>
      <c r="BX179" s="6">
        <f t="shared" si="41"/>
        <v>0</v>
      </c>
    </row>
    <row r="180" spans="1:77">
      <c r="A180" s="58"/>
      <c r="B180" s="11" t="s">
        <v>79</v>
      </c>
      <c r="C180"/>
      <c r="D180"/>
      <c r="E180"/>
      <c r="F180"/>
      <c r="G180"/>
      <c r="H180"/>
      <c r="I180"/>
      <c r="J180"/>
      <c r="K180" s="132"/>
      <c r="L180" s="250"/>
      <c r="M180" s="6"/>
      <c r="O180" s="6"/>
      <c r="Q180" s="6"/>
      <c r="S180" s="6"/>
      <c r="T180" s="6"/>
      <c r="U180" s="6"/>
      <c r="V180" s="6"/>
      <c r="X180" s="6"/>
      <c r="Z180" s="6"/>
      <c r="AB180" s="6"/>
      <c r="AD180" s="6"/>
      <c r="BB180" s="6">
        <v>837000</v>
      </c>
      <c r="BD180" s="6">
        <v>0</v>
      </c>
      <c r="BL180" s="6">
        <f>-837000+60000</f>
        <v>-777000</v>
      </c>
      <c r="BM180" s="6"/>
      <c r="BN180" s="6">
        <v>-327840</v>
      </c>
      <c r="BO180" s="6"/>
      <c r="BP180" s="6">
        <f t="shared" si="42"/>
        <v>-267840</v>
      </c>
      <c r="BQ180" s="6"/>
      <c r="BR180" s="6"/>
      <c r="BS180" s="6"/>
      <c r="BT180" s="6">
        <v>-837000</v>
      </c>
      <c r="BV180" s="6">
        <f t="shared" si="44"/>
        <v>-1104840</v>
      </c>
      <c r="BX180" s="6">
        <f t="shared" si="41"/>
        <v>1104840</v>
      </c>
    </row>
    <row r="181" spans="1:77">
      <c r="A181" s="58"/>
      <c r="B181" s="11" t="s">
        <v>360</v>
      </c>
      <c r="C181"/>
      <c r="D181"/>
      <c r="E181"/>
      <c r="F181"/>
      <c r="G181"/>
      <c r="H181"/>
      <c r="I181"/>
      <c r="J181"/>
      <c r="K181" s="132"/>
      <c r="L181" s="250"/>
      <c r="M181" s="6"/>
      <c r="O181" s="6"/>
      <c r="Q181" s="6"/>
      <c r="R181" s="6">
        <f>-3890117+2200000+132742</f>
        <v>-1557375</v>
      </c>
      <c r="S181" s="6"/>
      <c r="T181" s="6"/>
      <c r="U181" s="6"/>
      <c r="V181" s="6"/>
      <c r="X181" s="6"/>
      <c r="Z181" s="6"/>
      <c r="AB181" s="6"/>
      <c r="AD181" s="6"/>
      <c r="BL181" s="6"/>
      <c r="BM181" s="6"/>
      <c r="BN181" s="6"/>
      <c r="BO181" s="6"/>
      <c r="BP181" s="6">
        <f t="shared" si="42"/>
        <v>0</v>
      </c>
      <c r="BQ181" s="6"/>
      <c r="BR181" s="6">
        <v>1690117</v>
      </c>
      <c r="BS181" s="6"/>
      <c r="BT181" s="6">
        <f>IF(+R181-BP181+BR181&gt;0,R181-BP181+BR181,0)</f>
        <v>132742</v>
      </c>
      <c r="BV181" s="6">
        <f t="shared" si="44"/>
        <v>132742</v>
      </c>
      <c r="BX181" s="6">
        <f t="shared" si="41"/>
        <v>-1690117</v>
      </c>
    </row>
    <row r="182" spans="1:77" s="21" customFormat="1">
      <c r="A182" s="58"/>
      <c r="B182" s="31" t="s">
        <v>273</v>
      </c>
      <c r="K182" s="141"/>
      <c r="L182" s="9"/>
      <c r="M182" s="102">
        <f>SUM(M162:M177)</f>
        <v>2000000</v>
      </c>
      <c r="N182" s="9"/>
      <c r="O182" s="102">
        <f>SUM(O162:O177)</f>
        <v>295000</v>
      </c>
      <c r="P182" s="9"/>
      <c r="Q182" s="102">
        <f>SUM(Q162:Q177)</f>
        <v>2295000</v>
      </c>
      <c r="R182" s="102">
        <f>SUM(R162:R181)</f>
        <v>2200000</v>
      </c>
      <c r="S182" s="9"/>
      <c r="T182" s="102">
        <f>SUM(T162:T177)</f>
        <v>0</v>
      </c>
      <c r="U182" s="9"/>
      <c r="V182" s="102">
        <f>SUM(V162:V177)</f>
        <v>0</v>
      </c>
      <c r="W182" s="9"/>
      <c r="X182" s="102">
        <f>SUM(X162:X177)</f>
        <v>0</v>
      </c>
      <c r="Y182" s="9"/>
      <c r="Z182" s="102">
        <f>SUM(Z162:Z177)</f>
        <v>0</v>
      </c>
      <c r="AA182" s="9"/>
      <c r="AB182" s="102">
        <f>SUM(AB162:AB177)</f>
        <v>0</v>
      </c>
      <c r="AC182" s="9"/>
      <c r="AD182" s="102">
        <f>SUM(AD162:AD177)</f>
        <v>0</v>
      </c>
      <c r="AE182" s="9"/>
      <c r="AF182" s="102">
        <f>SUM(AF162:AF177)</f>
        <v>0</v>
      </c>
      <c r="AG182" s="9"/>
      <c r="AH182" s="102">
        <f>SUM(AH162:AH177)</f>
        <v>0</v>
      </c>
      <c r="AI182" s="9"/>
      <c r="AJ182" s="102">
        <f>SUM(AJ162:AJ177)</f>
        <v>0</v>
      </c>
      <c r="AK182" s="9"/>
      <c r="AL182" s="102">
        <f>SUM(AL162:AL177)</f>
        <v>0</v>
      </c>
      <c r="AM182" s="102"/>
      <c r="AN182" s="102">
        <f>SUM(AN162:AN177)</f>
        <v>0</v>
      </c>
      <c r="AO182" s="9"/>
      <c r="AP182" s="102">
        <f>SUM(AP162:AP177)</f>
        <v>18017.870000000003</v>
      </c>
      <c r="AQ182" s="9"/>
      <c r="AR182" s="102">
        <f>SUM(AR162:AR177)</f>
        <v>0</v>
      </c>
      <c r="AS182" s="9"/>
      <c r="AT182" s="102">
        <f t="shared" ref="AT182:BY182" si="45">SUM(AT162:AT181)</f>
        <v>7500</v>
      </c>
      <c r="AU182" s="102">
        <f t="shared" si="45"/>
        <v>0</v>
      </c>
      <c r="AV182" s="102">
        <f t="shared" si="45"/>
        <v>20486.25</v>
      </c>
      <c r="AW182" s="102">
        <f t="shared" si="45"/>
        <v>0</v>
      </c>
      <c r="AX182" s="102">
        <f t="shared" si="45"/>
        <v>0</v>
      </c>
      <c r="AY182" s="102">
        <f t="shared" si="45"/>
        <v>0</v>
      </c>
      <c r="AZ182" s="102">
        <f t="shared" si="45"/>
        <v>10602.45</v>
      </c>
      <c r="BA182" s="102">
        <f t="shared" si="45"/>
        <v>0</v>
      </c>
      <c r="BB182" s="102">
        <f t="shared" si="45"/>
        <v>2820532.52</v>
      </c>
      <c r="BC182"/>
      <c r="BD182" s="102">
        <f t="shared" si="45"/>
        <v>110182.74</v>
      </c>
      <c r="BE182"/>
      <c r="BF182" s="102">
        <f t="shared" si="45"/>
        <v>0</v>
      </c>
      <c r="BG182" s="102">
        <f t="shared" si="45"/>
        <v>0</v>
      </c>
      <c r="BH182" s="102">
        <f t="shared" si="45"/>
        <v>0</v>
      </c>
      <c r="BI182" s="102">
        <f t="shared" si="45"/>
        <v>0</v>
      </c>
      <c r="BJ182" s="102">
        <f t="shared" si="45"/>
        <v>0</v>
      </c>
      <c r="BK182" s="102">
        <f t="shared" si="45"/>
        <v>0</v>
      </c>
      <c r="BL182" s="102">
        <f t="shared" si="45"/>
        <v>499729</v>
      </c>
      <c r="BM182" s="102">
        <f t="shared" si="45"/>
        <v>0</v>
      </c>
      <c r="BN182" s="102">
        <f t="shared" si="45"/>
        <v>-327840</v>
      </c>
      <c r="BO182" s="102">
        <f t="shared" si="45"/>
        <v>0</v>
      </c>
      <c r="BP182" s="102">
        <f t="shared" si="45"/>
        <v>3159210.83</v>
      </c>
      <c r="BQ182" s="102">
        <f t="shared" si="45"/>
        <v>0</v>
      </c>
      <c r="BR182" s="102">
        <f t="shared" si="45"/>
        <v>1690117</v>
      </c>
      <c r="BS182" s="102">
        <f t="shared" si="45"/>
        <v>0</v>
      </c>
      <c r="BT182" s="102">
        <f t="shared" si="45"/>
        <v>6769</v>
      </c>
      <c r="BU182" s="102">
        <f t="shared" si="45"/>
        <v>0</v>
      </c>
      <c r="BV182" s="102">
        <f t="shared" si="45"/>
        <v>3165979.83</v>
      </c>
      <c r="BW182" s="102">
        <f t="shared" si="45"/>
        <v>0</v>
      </c>
      <c r="BX182" s="102">
        <f t="shared" si="45"/>
        <v>-965979.83</v>
      </c>
      <c r="BY182" s="102">
        <f t="shared" si="45"/>
        <v>0</v>
      </c>
    </row>
    <row r="183" spans="1:77" s="21" customFormat="1">
      <c r="A183" s="58"/>
      <c r="B183" s="31"/>
      <c r="K183" s="141"/>
      <c r="L183" s="9"/>
      <c r="M183" s="10"/>
      <c r="N183" s="9"/>
      <c r="O183" s="10"/>
      <c r="P183" s="9"/>
      <c r="Q183" s="10"/>
      <c r="R183" s="10"/>
      <c r="S183" s="9"/>
      <c r="T183" s="10"/>
      <c r="U183" s="9"/>
      <c r="V183" s="10"/>
      <c r="W183" s="9"/>
      <c r="X183" s="10"/>
      <c r="Y183" s="9"/>
      <c r="Z183" s="10"/>
      <c r="AA183" s="9"/>
      <c r="AB183" s="10"/>
      <c r="AC183" s="9"/>
      <c r="AD183" s="10"/>
      <c r="AE183" s="9"/>
      <c r="AF183" s="10"/>
      <c r="AG183" s="9"/>
      <c r="AH183" s="10"/>
      <c r="AI183" s="9"/>
      <c r="AJ183" s="10"/>
      <c r="AK183" s="9"/>
      <c r="AL183" s="10"/>
      <c r="AM183" s="9"/>
      <c r="AN183" s="10"/>
      <c r="AO183" s="9"/>
      <c r="AP183" s="10"/>
      <c r="AQ183" s="9"/>
      <c r="AR183" s="10"/>
      <c r="AS183" s="9"/>
      <c r="AT183" s="10"/>
      <c r="AU183" s="10"/>
      <c r="AV183" s="10"/>
      <c r="AW183" s="10"/>
      <c r="AX183" s="10"/>
      <c r="AY183" s="10"/>
      <c r="AZ183" s="10"/>
      <c r="BA183" s="10"/>
      <c r="BB183" s="10"/>
      <c r="BC183"/>
      <c r="BD183" s="10"/>
      <c r="BE183"/>
      <c r="BF183" s="10"/>
      <c r="BG183" s="10"/>
      <c r="BH183" s="10"/>
      <c r="BI183" s="10"/>
      <c r="BJ183" s="10"/>
      <c r="BK183" s="9"/>
      <c r="BL183" s="10"/>
      <c r="BM183" s="9"/>
      <c r="BN183" s="10"/>
      <c r="BO183" s="9"/>
      <c r="BP183" s="10"/>
      <c r="BQ183" s="9"/>
      <c r="BR183" s="10"/>
      <c r="BS183" s="9"/>
      <c r="BT183" s="10"/>
      <c r="BU183" s="9"/>
      <c r="BV183" s="10"/>
      <c r="BW183" s="9"/>
    </row>
    <row r="184" spans="1:77" s="21" customFormat="1">
      <c r="A184" s="58" t="s">
        <v>29</v>
      </c>
      <c r="B184" s="31"/>
      <c r="J184" s="8" t="s">
        <v>0</v>
      </c>
      <c r="L184" s="132" t="s">
        <v>202</v>
      </c>
      <c r="M184" s="9"/>
      <c r="N184" s="9">
        <v>0</v>
      </c>
      <c r="O184" s="9"/>
      <c r="P184" s="9">
        <v>0</v>
      </c>
      <c r="Q184" s="9"/>
      <c r="R184" s="9">
        <v>1100000</v>
      </c>
      <c r="S184" s="9"/>
      <c r="T184" s="9">
        <v>0</v>
      </c>
      <c r="U184" s="9"/>
      <c r="V184" s="9">
        <v>0</v>
      </c>
      <c r="W184" s="9"/>
      <c r="X184" s="9">
        <v>0</v>
      </c>
      <c r="Y184" s="9"/>
      <c r="Z184" s="9">
        <v>0</v>
      </c>
      <c r="AA184" s="9"/>
      <c r="AB184" s="9">
        <v>0</v>
      </c>
      <c r="AC184" s="9"/>
      <c r="AD184" s="9">
        <v>0</v>
      </c>
      <c r="AE184" s="9"/>
      <c r="AF184" s="9">
        <v>0</v>
      </c>
      <c r="AG184" s="9"/>
      <c r="AH184" s="9">
        <v>0</v>
      </c>
      <c r="AI184" s="9"/>
      <c r="AJ184" s="9">
        <v>0</v>
      </c>
      <c r="AK184" s="9"/>
      <c r="AL184" s="9"/>
      <c r="AM184" s="9"/>
      <c r="AN184" s="9">
        <v>0</v>
      </c>
      <c r="AO184" s="9"/>
      <c r="AP184" s="9">
        <v>0</v>
      </c>
      <c r="AQ184" s="9"/>
      <c r="AR184" s="9">
        <v>0</v>
      </c>
      <c r="AS184" s="9"/>
      <c r="AT184" s="9">
        <v>0</v>
      </c>
      <c r="AU184" s="9"/>
      <c r="AV184" s="9">
        <v>0</v>
      </c>
      <c r="AW184" s="9"/>
      <c r="AX184" s="9">
        <v>0</v>
      </c>
      <c r="AY184" s="9"/>
      <c r="AZ184" s="9">
        <v>0</v>
      </c>
      <c r="BA184" s="9"/>
      <c r="BB184" s="9">
        <v>0</v>
      </c>
      <c r="BC184"/>
      <c r="BD184" s="9">
        <v>0</v>
      </c>
      <c r="BE184"/>
      <c r="BF184" s="9">
        <v>0</v>
      </c>
      <c r="BG184" s="9"/>
      <c r="BH184" s="9">
        <v>709845.77</v>
      </c>
      <c r="BI184" s="9"/>
      <c r="BJ184" s="9">
        <v>0</v>
      </c>
      <c r="BK184" s="9"/>
      <c r="BL184" s="9">
        <f>22193+13547+11294</f>
        <v>47034</v>
      </c>
      <c r="BM184" s="9"/>
      <c r="BN184" s="9">
        <v>0</v>
      </c>
      <c r="BO184" s="9"/>
      <c r="BP184" s="9">
        <f>SUM(T184:BO184)</f>
        <v>756879.77</v>
      </c>
      <c r="BQ184" s="9"/>
      <c r="BR184" s="9">
        <v>0</v>
      </c>
      <c r="BS184" s="9"/>
      <c r="BT184" s="6">
        <f>IF(+R184-BP184+BR184&gt;0,R184-BP184+BR184,0)</f>
        <v>343120.23</v>
      </c>
      <c r="BU184" s="9"/>
      <c r="BV184" s="9">
        <f>+BP184+BT184</f>
        <v>1100000</v>
      </c>
      <c r="BW184" s="9"/>
      <c r="BX184" s="9">
        <f>+R184-BV184</f>
        <v>0</v>
      </c>
      <c r="BY184" s="9"/>
    </row>
    <row r="185" spans="1:77" s="21" customFormat="1">
      <c r="A185" s="283"/>
      <c r="B185" s="58"/>
      <c r="J185" s="8"/>
      <c r="L185" s="141"/>
      <c r="M185" s="9"/>
      <c r="N185" s="10"/>
      <c r="O185" s="9"/>
      <c r="P185" s="10"/>
      <c r="Q185" s="9"/>
      <c r="R185" s="10"/>
      <c r="S185" s="9"/>
      <c r="T185" s="10"/>
      <c r="U185" s="9"/>
      <c r="V185" s="10"/>
      <c r="W185" s="9"/>
      <c r="X185" s="10"/>
      <c r="Y185" s="9"/>
      <c r="Z185" s="10"/>
      <c r="AA185" s="9"/>
      <c r="AB185" s="10"/>
      <c r="AC185" s="9"/>
      <c r="AD185" s="10"/>
      <c r="AE185" s="9"/>
      <c r="AF185" s="10"/>
      <c r="AG185" s="9"/>
      <c r="AH185" s="10"/>
      <c r="AI185" s="9"/>
      <c r="AJ185" s="10"/>
      <c r="AK185" s="9"/>
      <c r="AL185" s="10"/>
      <c r="AM185" s="9"/>
      <c r="AN185" s="10"/>
      <c r="AO185" s="9"/>
      <c r="AP185" s="10"/>
      <c r="AQ185" s="9"/>
      <c r="AR185" s="10"/>
      <c r="AS185" s="9"/>
      <c r="AT185" s="10"/>
      <c r="AU185" s="9"/>
      <c r="AV185" s="10"/>
      <c r="AW185" s="10"/>
      <c r="AX185" s="10"/>
      <c r="AY185" s="10"/>
      <c r="AZ185" s="10"/>
      <c r="BA185" s="10"/>
      <c r="BB185" s="10"/>
      <c r="BC185"/>
      <c r="BD185" s="10"/>
      <c r="BE185"/>
      <c r="BF185" s="10"/>
      <c r="BG185" s="10"/>
      <c r="BH185" s="10"/>
      <c r="BI185" s="10"/>
      <c r="BJ185" s="10"/>
      <c r="BK185" s="10"/>
      <c r="BL185" s="10"/>
      <c r="BM185" s="9"/>
      <c r="BN185" s="10"/>
      <c r="BO185" s="9"/>
      <c r="BP185" s="10"/>
      <c r="BQ185" s="9"/>
      <c r="BR185" s="10"/>
      <c r="BS185" s="9"/>
      <c r="BT185" s="10"/>
      <c r="BU185" s="9"/>
      <c r="BV185" s="10"/>
      <c r="BW185" s="9"/>
      <c r="BX185" s="10"/>
      <c r="BY185" s="9"/>
    </row>
    <row r="186" spans="1:77" s="15" customFormat="1">
      <c r="A186" s="32" t="s">
        <v>285</v>
      </c>
      <c r="B186" s="60"/>
      <c r="C186"/>
      <c r="D186"/>
      <c r="E186"/>
      <c r="F186"/>
      <c r="G186"/>
      <c r="H186"/>
      <c r="I186"/>
      <c r="J186" s="49"/>
      <c r="K186"/>
      <c r="L186" s="13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  <c r="AA186" s="22"/>
      <c r="AB186" s="22"/>
      <c r="AC186" s="22"/>
      <c r="AD186" s="22"/>
      <c r="AE186" s="22"/>
      <c r="AF186" s="22"/>
      <c r="AG186" s="22"/>
      <c r="AH186" s="22"/>
      <c r="AI186" s="22"/>
      <c r="AJ186" s="22"/>
      <c r="AK186" s="22"/>
      <c r="AL186" s="22"/>
      <c r="AM186" s="22"/>
      <c r="AN186" s="22"/>
      <c r="AO186" s="22"/>
      <c r="AP186" s="22"/>
      <c r="AQ186" s="22"/>
      <c r="AR186" s="22"/>
      <c r="AS186" s="22"/>
      <c r="AT186" s="22"/>
      <c r="AU186" s="22"/>
      <c r="AV186" s="22"/>
      <c r="AW186" s="22"/>
      <c r="AX186" s="22"/>
      <c r="AY186" s="22"/>
      <c r="AZ186" s="22"/>
      <c r="BA186" s="22"/>
      <c r="BB186" s="22"/>
      <c r="BC186"/>
      <c r="BD186" s="22"/>
      <c r="BE186"/>
      <c r="BF186" s="22"/>
      <c r="BG186" s="22"/>
      <c r="BH186" s="22"/>
      <c r="BI186" s="22"/>
      <c r="BJ186" s="22"/>
      <c r="BK186" s="22"/>
      <c r="BL186" s="22"/>
      <c r="BM186" s="22"/>
      <c r="BN186" s="22"/>
      <c r="BO186" s="22"/>
      <c r="BP186" s="22"/>
      <c r="BQ186" s="22"/>
      <c r="BR186" s="22"/>
      <c r="BS186" s="22"/>
      <c r="BT186" s="22"/>
      <c r="BU186" s="22"/>
      <c r="BV186" s="22"/>
      <c r="BW186" s="22"/>
      <c r="BX186" s="22"/>
      <c r="BY186" s="22"/>
    </row>
    <row r="187" spans="1:77" s="15" customFormat="1" hidden="1">
      <c r="A187" s="109"/>
      <c r="B187" s="60" t="s">
        <v>179</v>
      </c>
      <c r="C187"/>
      <c r="D187"/>
      <c r="E187"/>
      <c r="F187"/>
      <c r="G187"/>
      <c r="H187"/>
      <c r="I187"/>
      <c r="J187" s="49"/>
      <c r="K187"/>
      <c r="L187" s="132" t="s">
        <v>202</v>
      </c>
      <c r="M187" s="22"/>
      <c r="N187" s="22">
        <v>0</v>
      </c>
      <c r="O187" s="22"/>
      <c r="P187" s="22">
        <v>0</v>
      </c>
      <c r="Q187" s="22"/>
      <c r="R187" s="6">
        <f>+N187+P187</f>
        <v>0</v>
      </c>
      <c r="S187" s="22"/>
      <c r="T187" s="22">
        <v>0</v>
      </c>
      <c r="U187" s="22"/>
      <c r="V187" s="22">
        <v>0</v>
      </c>
      <c r="W187" s="22"/>
      <c r="X187" s="22">
        <v>0</v>
      </c>
      <c r="Y187" s="22"/>
      <c r="Z187" s="22">
        <v>0</v>
      </c>
      <c r="AA187" s="22"/>
      <c r="AB187" s="22">
        <v>0</v>
      </c>
      <c r="AC187" s="22"/>
      <c r="AD187" s="22">
        <v>0</v>
      </c>
      <c r="AE187" s="22"/>
      <c r="AF187" s="22">
        <v>0</v>
      </c>
      <c r="AG187" s="22"/>
      <c r="AH187" s="22">
        <v>0</v>
      </c>
      <c r="AI187" s="22"/>
      <c r="AJ187" s="22">
        <v>0</v>
      </c>
      <c r="AK187" s="22"/>
      <c r="AL187" s="22"/>
      <c r="AM187" s="22"/>
      <c r="AN187" s="22">
        <v>0</v>
      </c>
      <c r="AO187" s="22"/>
      <c r="AP187" s="22">
        <v>0</v>
      </c>
      <c r="AQ187" s="22"/>
      <c r="AR187" s="22">
        <v>0</v>
      </c>
      <c r="AS187" s="22"/>
      <c r="AT187" s="22">
        <v>0</v>
      </c>
      <c r="AU187" s="22"/>
      <c r="AV187" s="22">
        <v>0</v>
      </c>
      <c r="AW187" s="22"/>
      <c r="AX187" s="22">
        <v>0</v>
      </c>
      <c r="AY187" s="22"/>
      <c r="AZ187" s="22">
        <v>0</v>
      </c>
      <c r="BA187" s="22"/>
      <c r="BB187" s="22">
        <v>0</v>
      </c>
      <c r="BC187"/>
      <c r="BD187" s="22">
        <v>0</v>
      </c>
      <c r="BE187"/>
      <c r="BF187" s="22">
        <v>0</v>
      </c>
      <c r="BG187" s="22"/>
      <c r="BH187" s="22">
        <v>0</v>
      </c>
      <c r="BI187" s="22"/>
      <c r="BJ187" s="22">
        <v>0</v>
      </c>
      <c r="BK187" s="22"/>
      <c r="BL187" s="22">
        <v>0</v>
      </c>
      <c r="BM187" s="22"/>
      <c r="BN187" s="22">
        <v>0</v>
      </c>
      <c r="BO187" s="22"/>
      <c r="BP187" s="22">
        <f>SUM(T187:BO187)</f>
        <v>0</v>
      </c>
      <c r="BQ187" s="22"/>
      <c r="BR187" s="22">
        <v>0</v>
      </c>
      <c r="BS187" s="22"/>
      <c r="BT187" s="22">
        <f>+R187-BP187+BR187</f>
        <v>0</v>
      </c>
      <c r="BU187" s="22"/>
      <c r="BV187" s="6">
        <f>+BP187+BT187</f>
        <v>0</v>
      </c>
      <c r="BW187" s="22"/>
      <c r="BX187" s="6">
        <f>+R187-BV187</f>
        <v>0</v>
      </c>
      <c r="BY187" s="22"/>
    </row>
    <row r="188" spans="1:77" s="15" customFormat="1">
      <c r="A188" s="109"/>
      <c r="B188" s="60" t="s">
        <v>286</v>
      </c>
      <c r="C188"/>
      <c r="D188"/>
      <c r="E188"/>
      <c r="F188"/>
      <c r="G188"/>
      <c r="H188"/>
      <c r="I188"/>
      <c r="J188" s="49"/>
      <c r="K188"/>
      <c r="L188" s="132" t="s">
        <v>202</v>
      </c>
      <c r="M188" s="22"/>
      <c r="N188" s="22">
        <v>0</v>
      </c>
      <c r="O188" s="22"/>
      <c r="P188" s="22">
        <v>0</v>
      </c>
      <c r="Q188" s="22"/>
      <c r="R188" s="6">
        <v>500000</v>
      </c>
      <c r="S188" s="22"/>
      <c r="T188" s="22">
        <v>0</v>
      </c>
      <c r="U188" s="22"/>
      <c r="V188" s="22">
        <v>0</v>
      </c>
      <c r="W188" s="22"/>
      <c r="X188" s="22">
        <v>0</v>
      </c>
      <c r="Y188" s="22"/>
      <c r="Z188" s="22">
        <v>0</v>
      </c>
      <c r="AA188" s="22"/>
      <c r="AB188" s="22">
        <v>0</v>
      </c>
      <c r="AC188" s="22"/>
      <c r="AD188" s="22">
        <v>0</v>
      </c>
      <c r="AE188" s="22"/>
      <c r="AF188" s="22">
        <v>0</v>
      </c>
      <c r="AG188" s="22"/>
      <c r="AH188" s="22">
        <v>0</v>
      </c>
      <c r="AI188" s="22"/>
      <c r="AJ188" s="22">
        <v>0</v>
      </c>
      <c r="AK188" s="22"/>
      <c r="AL188" s="22"/>
      <c r="AM188" s="22"/>
      <c r="AN188" s="22">
        <v>0</v>
      </c>
      <c r="AO188" s="22"/>
      <c r="AP188" s="22">
        <v>0</v>
      </c>
      <c r="AQ188" s="22"/>
      <c r="AR188" s="22">
        <v>0</v>
      </c>
      <c r="AS188" s="22"/>
      <c r="AT188" s="22">
        <v>0</v>
      </c>
      <c r="AU188" s="22"/>
      <c r="AV188" s="22">
        <v>0</v>
      </c>
      <c r="AW188" s="22"/>
      <c r="AX188" s="22">
        <v>0</v>
      </c>
      <c r="AY188" s="22"/>
      <c r="AZ188" s="22">
        <v>0</v>
      </c>
      <c r="BA188" s="22"/>
      <c r="BB188" s="22">
        <v>0</v>
      </c>
      <c r="BC188"/>
      <c r="BD188" s="22">
        <v>457081</v>
      </c>
      <c r="BE188"/>
      <c r="BF188" s="22">
        <v>1233742</v>
      </c>
      <c r="BG188" s="22"/>
      <c r="BH188" s="22">
        <v>0</v>
      </c>
      <c r="BI188" s="22"/>
      <c r="BJ188" s="22">
        <v>-592943.07999999996</v>
      </c>
      <c r="BK188" s="22"/>
      <c r="BL188" s="22">
        <v>0</v>
      </c>
      <c r="BM188" s="22"/>
      <c r="BN188" s="22">
        <v>0</v>
      </c>
      <c r="BO188" s="22"/>
      <c r="BP188" s="22">
        <f>SUM(T188:BO188)</f>
        <v>1097879.92</v>
      </c>
      <c r="BQ188" s="22"/>
      <c r="BR188" s="22">
        <v>0</v>
      </c>
      <c r="BS188" s="22"/>
      <c r="BT188" s="6">
        <f>IF(+R188-BP188+BR188&gt;0,R188-BP188+BR188,0)</f>
        <v>0</v>
      </c>
      <c r="BU188" s="22"/>
      <c r="BV188" s="6">
        <f>+BP188+BT188</f>
        <v>1097879.92</v>
      </c>
      <c r="BW188" s="22"/>
      <c r="BX188" s="6">
        <f>+R188-BV188</f>
        <v>-597879.91999999993</v>
      </c>
      <c r="BY188" s="22"/>
    </row>
    <row r="189" spans="1:77" s="15" customFormat="1" hidden="1">
      <c r="A189" s="109"/>
      <c r="B189" s="60" t="s">
        <v>121</v>
      </c>
      <c r="C189"/>
      <c r="D189"/>
      <c r="E189"/>
      <c r="F189"/>
      <c r="G189"/>
      <c r="H189"/>
      <c r="I189"/>
      <c r="J189" s="49"/>
      <c r="K189"/>
      <c r="L189" s="132" t="s">
        <v>202</v>
      </c>
      <c r="M189" s="22"/>
      <c r="N189" s="22">
        <v>0</v>
      </c>
      <c r="O189" s="22"/>
      <c r="P189" s="22">
        <v>0</v>
      </c>
      <c r="Q189" s="22"/>
      <c r="R189" s="6">
        <v>0</v>
      </c>
      <c r="S189" s="22"/>
      <c r="T189" s="22">
        <v>0</v>
      </c>
      <c r="U189" s="22"/>
      <c r="V189" s="22">
        <v>0</v>
      </c>
      <c r="W189" s="22"/>
      <c r="X189" s="22">
        <v>0</v>
      </c>
      <c r="Y189" s="22"/>
      <c r="Z189" s="22">
        <v>0</v>
      </c>
      <c r="AA189" s="22"/>
      <c r="AB189" s="22">
        <v>0</v>
      </c>
      <c r="AC189" s="22"/>
      <c r="AD189" s="22">
        <v>0</v>
      </c>
      <c r="AE189" s="22"/>
      <c r="AF189" s="22">
        <v>0</v>
      </c>
      <c r="AG189" s="22"/>
      <c r="AH189" s="22">
        <v>0</v>
      </c>
      <c r="AI189" s="22"/>
      <c r="AJ189" s="22">
        <v>0</v>
      </c>
      <c r="AK189" s="22"/>
      <c r="AL189" s="22"/>
      <c r="AM189" s="22"/>
      <c r="AN189" s="22">
        <v>0</v>
      </c>
      <c r="AO189" s="22"/>
      <c r="AP189" s="22">
        <v>0</v>
      </c>
      <c r="AQ189" s="22"/>
      <c r="AR189" s="22">
        <v>0</v>
      </c>
      <c r="AS189" s="22"/>
      <c r="AT189" s="22">
        <v>0</v>
      </c>
      <c r="AU189" s="22"/>
      <c r="AV189" s="22">
        <v>0</v>
      </c>
      <c r="AW189" s="22"/>
      <c r="AX189" s="22">
        <v>0</v>
      </c>
      <c r="AY189" s="22"/>
      <c r="AZ189" s="22">
        <v>0</v>
      </c>
      <c r="BA189" s="22"/>
      <c r="BB189" s="22">
        <v>0</v>
      </c>
      <c r="BC189"/>
      <c r="BD189" s="22">
        <v>0</v>
      </c>
      <c r="BE189"/>
      <c r="BF189" s="22">
        <v>0</v>
      </c>
      <c r="BG189" s="22"/>
      <c r="BH189" s="22">
        <v>0</v>
      </c>
      <c r="BI189" s="22"/>
      <c r="BJ189" s="22">
        <v>0</v>
      </c>
      <c r="BK189" s="22"/>
      <c r="BL189" s="22">
        <v>0</v>
      </c>
      <c r="BM189" s="22"/>
      <c r="BN189" s="22">
        <v>0</v>
      </c>
      <c r="BO189" s="22"/>
      <c r="BP189" s="22">
        <f>SUM(T189:BO189)</f>
        <v>0</v>
      </c>
      <c r="BQ189" s="22"/>
      <c r="BR189" s="22">
        <v>0</v>
      </c>
      <c r="BS189" s="22"/>
      <c r="BT189" s="22">
        <f>+R189-BP189+BR189</f>
        <v>0</v>
      </c>
      <c r="BU189" s="22"/>
      <c r="BV189" s="6">
        <f>+BP189+BT189</f>
        <v>0</v>
      </c>
      <c r="BW189" s="22"/>
      <c r="BX189" s="6">
        <f>+R189-BV189</f>
        <v>0</v>
      </c>
      <c r="BY189" s="22"/>
    </row>
    <row r="190" spans="1:77" s="104" customFormat="1">
      <c r="A190" s="32"/>
      <c r="B190" s="77" t="s">
        <v>181</v>
      </c>
      <c r="C190" s="21"/>
      <c r="D190" s="21"/>
      <c r="E190" s="21"/>
      <c r="F190" s="21"/>
      <c r="G190" s="21"/>
      <c r="H190" s="21"/>
      <c r="I190" s="21"/>
      <c r="J190" s="8"/>
      <c r="K190" s="21"/>
      <c r="L190" s="141"/>
      <c r="M190" s="16"/>
      <c r="N190" s="108">
        <f>SUM(N187:N189)</f>
        <v>0</v>
      </c>
      <c r="O190" s="16"/>
      <c r="P190" s="108">
        <f>SUM(P187:P189)</f>
        <v>0</v>
      </c>
      <c r="Q190" s="16"/>
      <c r="R190" s="108">
        <f>SUM(R187:R189)</f>
        <v>500000</v>
      </c>
      <c r="S190" s="16"/>
      <c r="T190" s="108">
        <f>SUM(T187:T189)</f>
        <v>0</v>
      </c>
      <c r="U190" s="16"/>
      <c r="V190" s="108">
        <f>SUM(V187:V189)</f>
        <v>0</v>
      </c>
      <c r="W190" s="16"/>
      <c r="X190" s="108">
        <f>SUM(X187:X189)</f>
        <v>0</v>
      </c>
      <c r="Y190" s="16"/>
      <c r="Z190" s="108">
        <f>SUM(Z187:Z189)</f>
        <v>0</v>
      </c>
      <c r="AA190" s="16"/>
      <c r="AB190" s="108">
        <f>SUM(AB187:AB189)</f>
        <v>0</v>
      </c>
      <c r="AC190" s="16"/>
      <c r="AD190" s="108">
        <f>SUM(AD187:AD189)</f>
        <v>0</v>
      </c>
      <c r="AE190" s="16"/>
      <c r="AF190" s="108">
        <f>SUM(AF187:AF189)</f>
        <v>0</v>
      </c>
      <c r="AG190" s="16"/>
      <c r="AH190" s="108">
        <f>SUM(AH187:AH189)</f>
        <v>0</v>
      </c>
      <c r="AI190" s="16"/>
      <c r="AJ190" s="108">
        <f>SUM(AJ187:AJ189)</f>
        <v>0</v>
      </c>
      <c r="AK190" s="16"/>
      <c r="AL190" s="108">
        <f>SUM(AL187:AL189)</f>
        <v>0</v>
      </c>
      <c r="AM190" s="108"/>
      <c r="AN190" s="108">
        <f>SUM(AN187:AN189)</f>
        <v>0</v>
      </c>
      <c r="AO190" s="16"/>
      <c r="AP190" s="108">
        <f>SUM(AP187:AP189)</f>
        <v>0</v>
      </c>
      <c r="AQ190" s="16"/>
      <c r="AR190" s="108">
        <f>SUM(AR187:AR189)</f>
        <v>0</v>
      </c>
      <c r="AS190" s="16"/>
      <c r="AT190" s="108">
        <f>SUM(AT187:AT189)</f>
        <v>0</v>
      </c>
      <c r="AU190" s="16"/>
      <c r="AV190" s="108">
        <f>SUM(AV187:AV189)</f>
        <v>0</v>
      </c>
      <c r="AW190" s="103"/>
      <c r="AX190" s="108">
        <f>SUM(AX187:AX189)</f>
        <v>0</v>
      </c>
      <c r="AY190" s="103"/>
      <c r="AZ190" s="108">
        <f>SUM(AZ187:AZ189)</f>
        <v>0</v>
      </c>
      <c r="BA190" s="103"/>
      <c r="BB190" s="108">
        <f>SUM(BB187:BB189)</f>
        <v>0</v>
      </c>
      <c r="BC190"/>
      <c r="BD190" s="108">
        <f>SUM(BD187:BD189)</f>
        <v>457081</v>
      </c>
      <c r="BE190"/>
      <c r="BF190" s="108">
        <f>SUM(BF187:BF189)</f>
        <v>1233742</v>
      </c>
      <c r="BG190" s="103"/>
      <c r="BH190" s="108">
        <f>SUM(BH187:BH189)</f>
        <v>0</v>
      </c>
      <c r="BI190" s="103"/>
      <c r="BJ190" s="108">
        <f>SUM(BJ187:BJ189)</f>
        <v>-592943.07999999996</v>
      </c>
      <c r="BK190" s="103"/>
      <c r="BL190" s="108">
        <f>SUM(BL187:BL189)</f>
        <v>0</v>
      </c>
      <c r="BM190" s="16"/>
      <c r="BN190" s="108">
        <f>SUM(BN187:BN189)</f>
        <v>0</v>
      </c>
      <c r="BO190" s="16"/>
      <c r="BP190" s="108">
        <f>SUM(BP187:BP189)</f>
        <v>1097879.92</v>
      </c>
      <c r="BQ190" s="16"/>
      <c r="BR190" s="108">
        <f>SUM(BR187:BR189)</f>
        <v>0</v>
      </c>
      <c r="BS190" s="16"/>
      <c r="BT190" s="108">
        <f>SUM(BT187:BT189)</f>
        <v>0</v>
      </c>
      <c r="BU190" s="16"/>
      <c r="BV190" s="108">
        <f>SUM(BV187:BV189)</f>
        <v>1097879.92</v>
      </c>
      <c r="BW190" s="16"/>
      <c r="BX190" s="108">
        <f>SUM(BX187:BX189)</f>
        <v>-597879.91999999993</v>
      </c>
      <c r="BY190" s="16"/>
    </row>
    <row r="191" spans="1:77" s="104" customFormat="1">
      <c r="A191" s="32"/>
      <c r="B191" s="77"/>
      <c r="C191" s="21"/>
      <c r="D191" s="21"/>
      <c r="E191" s="21"/>
      <c r="F191" s="21"/>
      <c r="G191" s="21"/>
      <c r="H191" s="21"/>
      <c r="I191" s="21"/>
      <c r="J191" s="8"/>
      <c r="K191" s="21"/>
      <c r="L191" s="141"/>
      <c r="M191" s="16"/>
      <c r="N191" s="103"/>
      <c r="O191" s="16"/>
      <c r="P191" s="103"/>
      <c r="Q191" s="16"/>
      <c r="R191" s="103"/>
      <c r="S191" s="16"/>
      <c r="T191" s="103"/>
      <c r="U191" s="16"/>
      <c r="V191" s="103"/>
      <c r="W191" s="16"/>
      <c r="X191" s="103"/>
      <c r="Y191" s="16"/>
      <c r="Z191" s="103"/>
      <c r="AA191" s="16"/>
      <c r="AB191" s="103"/>
      <c r="AC191" s="16"/>
      <c r="AD191" s="103"/>
      <c r="AE191" s="16"/>
      <c r="AF191" s="103"/>
      <c r="AG191" s="16"/>
      <c r="AH191" s="103"/>
      <c r="AI191" s="16"/>
      <c r="AJ191" s="103"/>
      <c r="AK191" s="16"/>
      <c r="AL191" s="103"/>
      <c r="AM191" s="16"/>
      <c r="AN191" s="103"/>
      <c r="AO191" s="16"/>
      <c r="AP191" s="103"/>
      <c r="AQ191" s="16"/>
      <c r="AR191" s="103"/>
      <c r="AS191" s="16"/>
      <c r="AT191" s="103"/>
      <c r="AU191" s="16"/>
      <c r="AV191" s="103"/>
      <c r="AW191" s="103"/>
      <c r="AX191" s="103"/>
      <c r="AY191" s="103"/>
      <c r="AZ191" s="103"/>
      <c r="BA191" s="103"/>
      <c r="BB191" s="103"/>
      <c r="BC191"/>
      <c r="BD191" s="103"/>
      <c r="BE191"/>
      <c r="BF191" s="103"/>
      <c r="BG191" s="103"/>
      <c r="BH191" s="103"/>
      <c r="BI191" s="103"/>
      <c r="BJ191" s="103"/>
      <c r="BK191" s="103"/>
      <c r="BL191" s="103"/>
      <c r="BM191" s="16"/>
      <c r="BN191" s="103"/>
      <c r="BO191" s="16"/>
      <c r="BP191" s="103"/>
      <c r="BQ191" s="16"/>
      <c r="BR191" s="103"/>
      <c r="BS191" s="16"/>
      <c r="BT191" s="103"/>
      <c r="BU191" s="16"/>
      <c r="BV191" s="103"/>
      <c r="BW191" s="16"/>
      <c r="BX191" s="103"/>
      <c r="BY191" s="16"/>
    </row>
    <row r="192" spans="1:77" s="31" customFormat="1">
      <c r="A192" s="58" t="s">
        <v>31</v>
      </c>
      <c r="J192" s="156"/>
      <c r="L192" s="143" t="s">
        <v>202</v>
      </c>
      <c r="M192" s="10"/>
      <c r="N192" s="10">
        <v>0</v>
      </c>
      <c r="O192" s="10"/>
      <c r="P192" s="10">
        <v>0</v>
      </c>
      <c r="Q192" s="10"/>
      <c r="R192" s="9">
        <v>200000</v>
      </c>
      <c r="S192" s="10"/>
      <c r="T192" s="10">
        <v>0</v>
      </c>
      <c r="U192" s="10"/>
      <c r="V192" s="10">
        <v>0</v>
      </c>
      <c r="W192" s="10"/>
      <c r="X192" s="10">
        <v>0</v>
      </c>
      <c r="Y192" s="10"/>
      <c r="Z192" s="10">
        <v>0</v>
      </c>
      <c r="AA192" s="10"/>
      <c r="AB192" s="10">
        <v>0</v>
      </c>
      <c r="AC192" s="10"/>
      <c r="AD192" s="10">
        <v>0</v>
      </c>
      <c r="AE192" s="10"/>
      <c r="AF192" s="10">
        <v>0</v>
      </c>
      <c r="AG192" s="10"/>
      <c r="AH192" s="10">
        <v>0</v>
      </c>
      <c r="AI192" s="10"/>
      <c r="AJ192" s="10">
        <v>0</v>
      </c>
      <c r="AK192" s="10"/>
      <c r="AL192" s="10"/>
      <c r="AM192" s="10"/>
      <c r="AN192" s="10">
        <v>0</v>
      </c>
      <c r="AO192" s="10"/>
      <c r="AP192" s="10">
        <v>0</v>
      </c>
      <c r="AQ192" s="10"/>
      <c r="AR192" s="10">
        <v>0</v>
      </c>
      <c r="AS192" s="10"/>
      <c r="AT192" s="10">
        <v>200935.25</v>
      </c>
      <c r="AU192" s="10"/>
      <c r="AV192" s="10">
        <v>0</v>
      </c>
      <c r="AW192" s="10"/>
      <c r="AX192" s="10">
        <v>0</v>
      </c>
      <c r="AY192" s="10"/>
      <c r="AZ192" s="10">
        <v>0</v>
      </c>
      <c r="BA192" s="10"/>
      <c r="BB192" s="10">
        <v>0</v>
      </c>
      <c r="BC192"/>
      <c r="BD192" s="10">
        <v>0</v>
      </c>
      <c r="BE192"/>
      <c r="BF192" s="10">
        <v>0</v>
      </c>
      <c r="BG192" s="10"/>
      <c r="BH192" s="10">
        <v>0</v>
      </c>
      <c r="BI192" s="10"/>
      <c r="BJ192" s="10">
        <v>0</v>
      </c>
      <c r="BK192" s="10"/>
      <c r="BL192" s="10">
        <v>0</v>
      </c>
      <c r="BM192" s="10"/>
      <c r="BN192" s="10">
        <v>0</v>
      </c>
      <c r="BO192" s="10"/>
      <c r="BP192" s="10">
        <f>SUM(T192:BO192)</f>
        <v>200935.25</v>
      </c>
      <c r="BQ192" s="10"/>
      <c r="BR192" s="10">
        <v>0</v>
      </c>
      <c r="BS192" s="10"/>
      <c r="BT192" s="6">
        <f>IF(+R192-BP192+BR192&gt;0,R192-BP192+BR192,0)</f>
        <v>0</v>
      </c>
      <c r="BU192" s="10"/>
      <c r="BV192" s="9">
        <f>+BP192+BT192</f>
        <v>200935.25</v>
      </c>
      <c r="BW192" s="10"/>
      <c r="BX192" s="9">
        <f>+R192-BV192</f>
        <v>-935.25</v>
      </c>
      <c r="BY192" s="10"/>
    </row>
    <row r="193" spans="1:126" s="15" customFormat="1">
      <c r="A193" s="109"/>
      <c r="B193" s="60"/>
      <c r="C193"/>
      <c r="D193"/>
      <c r="E193"/>
      <c r="F193"/>
      <c r="G193"/>
      <c r="H193"/>
      <c r="I193"/>
      <c r="J193" s="49"/>
      <c r="K193"/>
      <c r="L193" s="13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  <c r="AA193" s="22"/>
      <c r="AB193" s="22"/>
      <c r="AC193" s="22"/>
      <c r="AD193" s="22"/>
      <c r="AE193" s="22"/>
      <c r="AF193" s="22"/>
      <c r="AG193" s="22"/>
      <c r="AH193" s="22"/>
      <c r="AI193" s="22"/>
      <c r="AJ193" s="22"/>
      <c r="AK193" s="22"/>
      <c r="AL193" s="22"/>
      <c r="AM193" s="22"/>
      <c r="AN193" s="22"/>
      <c r="AO193" s="22"/>
      <c r="AP193" s="22"/>
      <c r="AQ193" s="22"/>
      <c r="AR193" s="22"/>
      <c r="AS193" s="22"/>
      <c r="AT193" s="22"/>
      <c r="AU193" s="22"/>
      <c r="AV193" s="22"/>
      <c r="AW193" s="22"/>
      <c r="AX193" s="22"/>
      <c r="AY193" s="22"/>
      <c r="AZ193" s="22"/>
      <c r="BA193" s="22"/>
      <c r="BB193" s="22"/>
      <c r="BC193"/>
      <c r="BD193" s="22"/>
      <c r="BE193"/>
      <c r="BF193" s="22"/>
      <c r="BG193" s="22"/>
      <c r="BH193" s="22"/>
      <c r="BI193" s="22"/>
      <c r="BJ193" s="22"/>
      <c r="BK193" s="22"/>
      <c r="BL193" s="22"/>
      <c r="BM193" s="22"/>
      <c r="BN193" s="22"/>
      <c r="BO193" s="22"/>
      <c r="BP193" s="22"/>
      <c r="BQ193" s="22"/>
      <c r="BR193" s="22"/>
      <c r="BS193" s="22"/>
      <c r="BT193" s="22"/>
      <c r="BU193" s="22"/>
      <c r="BV193" s="22"/>
      <c r="BW193" s="22"/>
      <c r="BX193" s="22"/>
      <c r="BY193" s="22"/>
    </row>
    <row r="194" spans="1:126" s="31" customFormat="1">
      <c r="A194" s="58" t="s">
        <v>32</v>
      </c>
      <c r="J194" s="156"/>
      <c r="L194" s="143" t="s">
        <v>202</v>
      </c>
      <c r="M194" s="10"/>
      <c r="N194" s="10">
        <v>0</v>
      </c>
      <c r="O194" s="10"/>
      <c r="P194" s="10">
        <v>0</v>
      </c>
      <c r="Q194" s="10"/>
      <c r="R194" s="9">
        <v>200000</v>
      </c>
      <c r="S194" s="10"/>
      <c r="T194" s="10">
        <v>0</v>
      </c>
      <c r="U194" s="10"/>
      <c r="V194" s="10">
        <v>0</v>
      </c>
      <c r="W194" s="10"/>
      <c r="X194" s="10"/>
      <c r="Y194" s="10"/>
      <c r="Z194" s="10">
        <v>0</v>
      </c>
      <c r="AA194" s="10"/>
      <c r="AB194" s="10">
        <v>0</v>
      </c>
      <c r="AC194" s="10"/>
      <c r="AD194" s="10">
        <v>0</v>
      </c>
      <c r="AE194" s="10"/>
      <c r="AF194" s="10">
        <v>0</v>
      </c>
      <c r="AG194" s="10"/>
      <c r="AH194" s="10">
        <v>0</v>
      </c>
      <c r="AI194" s="10"/>
      <c r="AJ194" s="10">
        <v>0</v>
      </c>
      <c r="AK194" s="10"/>
      <c r="AL194" s="10">
        <f>33713.4+18457</f>
        <v>52170.400000000001</v>
      </c>
      <c r="AM194" s="10"/>
      <c r="AN194" s="10">
        <v>2851</v>
      </c>
      <c r="AO194" s="10"/>
      <c r="AP194" s="10">
        <v>0</v>
      </c>
      <c r="AQ194" s="10"/>
      <c r="AR194" s="10">
        <v>0</v>
      </c>
      <c r="AS194" s="10"/>
      <c r="AT194" s="10">
        <v>0</v>
      </c>
      <c r="AU194" s="10"/>
      <c r="AV194" s="10">
        <v>1755.4</v>
      </c>
      <c r="AW194" s="10"/>
      <c r="AX194" s="10">
        <v>28687.68</v>
      </c>
      <c r="AY194" s="10"/>
      <c r="AZ194" s="10">
        <v>12673.78</v>
      </c>
      <c r="BA194" s="10"/>
      <c r="BB194" s="10">
        <v>13977.09</v>
      </c>
      <c r="BC194"/>
      <c r="BD194" s="10">
        <v>0</v>
      </c>
      <c r="BE194"/>
      <c r="BF194" s="10">
        <v>0</v>
      </c>
      <c r="BG194" s="10"/>
      <c r="BH194" s="10">
        <v>0</v>
      </c>
      <c r="BI194" s="10"/>
      <c r="BJ194" s="10">
        <v>0</v>
      </c>
      <c r="BK194" s="10"/>
      <c r="BL194" s="10"/>
      <c r="BM194" s="10"/>
      <c r="BN194" s="10">
        <v>0</v>
      </c>
      <c r="BO194" s="10"/>
      <c r="BP194" s="10">
        <f>SUM(T194:BO194)</f>
        <v>112115.35</v>
      </c>
      <c r="BQ194" s="10"/>
      <c r="BR194" s="10">
        <v>-87885</v>
      </c>
      <c r="BS194" s="10"/>
      <c r="BT194" s="6">
        <f>IF(+R194-BP194+BR194&gt;0,R194-BP194+BR194,0)</f>
        <v>0</v>
      </c>
      <c r="BU194" s="10"/>
      <c r="BV194" s="9">
        <f>+BP194+BT194</f>
        <v>112115.35</v>
      </c>
      <c r="BW194" s="10"/>
      <c r="BX194" s="9">
        <f>+R194-BV194</f>
        <v>87884.65</v>
      </c>
      <c r="BY194" s="10"/>
    </row>
    <row r="195" spans="1:126" s="15" customFormat="1">
      <c r="A195" s="109"/>
      <c r="B195" s="60"/>
      <c r="C195"/>
      <c r="D195"/>
      <c r="E195"/>
      <c r="F195"/>
      <c r="G195"/>
      <c r="H195"/>
      <c r="I195"/>
      <c r="J195" s="49"/>
      <c r="K195"/>
      <c r="L195" s="13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  <c r="AA195" s="22"/>
      <c r="AB195" s="22"/>
      <c r="AC195" s="22"/>
      <c r="AD195" s="22"/>
      <c r="AE195" s="22"/>
      <c r="AF195" s="22"/>
      <c r="AG195" s="22"/>
      <c r="AH195" s="22"/>
      <c r="AI195" s="22"/>
      <c r="AJ195" s="22"/>
      <c r="AK195" s="22"/>
      <c r="AL195" s="22"/>
      <c r="AM195" s="22"/>
      <c r="AN195" s="22"/>
      <c r="AO195" s="22"/>
      <c r="AP195" s="22"/>
      <c r="AQ195" s="22"/>
      <c r="AR195" s="22"/>
      <c r="AS195" s="22"/>
      <c r="AT195" s="22"/>
      <c r="AU195" s="22"/>
      <c r="AV195" s="22"/>
      <c r="AW195" s="22"/>
      <c r="AX195" s="22"/>
      <c r="AY195" s="22"/>
      <c r="AZ195" s="22"/>
      <c r="BA195" s="22"/>
      <c r="BB195" s="22"/>
      <c r="BC195"/>
      <c r="BD195" s="22"/>
      <c r="BE195"/>
      <c r="BF195" s="22"/>
      <c r="BG195" s="22"/>
      <c r="BH195" s="22"/>
      <c r="BI195" s="22"/>
      <c r="BJ195" s="22"/>
      <c r="BK195" s="22"/>
      <c r="BL195" s="22"/>
      <c r="BM195" s="22"/>
      <c r="BN195" s="22"/>
      <c r="BO195" s="22"/>
      <c r="BP195" s="22"/>
      <c r="BQ195" s="22"/>
      <c r="BR195" s="22"/>
      <c r="BS195" s="22"/>
      <c r="BT195" s="22"/>
      <c r="BU195" s="22"/>
      <c r="BV195" s="22"/>
      <c r="BW195" s="22"/>
      <c r="BX195" s="22"/>
      <c r="BY195" s="22"/>
    </row>
    <row r="196" spans="1:126">
      <c r="A196" s="58" t="s">
        <v>33</v>
      </c>
      <c r="B196" s="11"/>
      <c r="C196"/>
      <c r="D196"/>
      <c r="E196"/>
      <c r="F196"/>
      <c r="G196"/>
      <c r="H196"/>
      <c r="I196"/>
      <c r="J196" s="49"/>
      <c r="K196"/>
      <c r="L196" s="132"/>
      <c r="M196" s="6"/>
      <c r="O196" s="6"/>
      <c r="Q196" s="6"/>
      <c r="S196" s="6"/>
      <c r="T196" s="6"/>
      <c r="U196" s="6"/>
      <c r="V196" s="6"/>
      <c r="X196" s="6"/>
      <c r="Z196" s="6"/>
      <c r="AB196" s="6"/>
      <c r="AD196" s="6"/>
      <c r="BL196" s="6"/>
      <c r="BM196" s="6"/>
      <c r="BN196" s="6"/>
      <c r="BO196" s="6"/>
      <c r="BQ196" s="6"/>
      <c r="BR196" s="6"/>
      <c r="BS196" s="6"/>
      <c r="BY196" s="6"/>
    </row>
    <row r="197" spans="1:126" s="11" customFormat="1">
      <c r="A197" s="17"/>
      <c r="B197" s="11" t="s">
        <v>184</v>
      </c>
      <c r="J197" s="157"/>
      <c r="L197" s="144" t="s">
        <v>203</v>
      </c>
      <c r="M197" s="12"/>
      <c r="N197" s="12">
        <v>200000</v>
      </c>
      <c r="O197" s="12"/>
      <c r="P197" s="12">
        <v>0</v>
      </c>
      <c r="Q197" s="12"/>
      <c r="R197" s="6">
        <v>100000</v>
      </c>
      <c r="S197" s="12"/>
      <c r="T197" s="12">
        <v>0</v>
      </c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  <c r="AJ197" s="12">
        <f>11817+1362.81</f>
        <v>13179.81</v>
      </c>
      <c r="AK197" s="12"/>
      <c r="AL197" s="12"/>
      <c r="AM197" s="12"/>
      <c r="AN197" s="12"/>
      <c r="AO197" s="12"/>
      <c r="AP197" s="12">
        <v>0</v>
      </c>
      <c r="AQ197" s="12"/>
      <c r="AR197" s="12">
        <v>0</v>
      </c>
      <c r="AS197" s="12"/>
      <c r="AT197" s="12">
        <v>0</v>
      </c>
      <c r="AU197" s="12"/>
      <c r="AV197" s="12">
        <v>0</v>
      </c>
      <c r="AW197" s="12"/>
      <c r="AX197" s="12">
        <v>0</v>
      </c>
      <c r="AY197" s="12"/>
      <c r="AZ197" s="12">
        <v>0</v>
      </c>
      <c r="BA197" s="12"/>
      <c r="BB197" s="12">
        <v>0</v>
      </c>
      <c r="BC197"/>
      <c r="BD197" s="12">
        <v>0</v>
      </c>
      <c r="BE197"/>
      <c r="BF197" s="12">
        <v>0</v>
      </c>
      <c r="BG197" s="12"/>
      <c r="BH197" s="12">
        <v>0</v>
      </c>
      <c r="BI197" s="12"/>
      <c r="BJ197" s="12">
        <v>0</v>
      </c>
      <c r="BK197" s="12"/>
      <c r="BL197" s="12">
        <v>0</v>
      </c>
      <c r="BM197" s="12"/>
      <c r="BN197" s="12">
        <v>0</v>
      </c>
      <c r="BO197" s="12"/>
      <c r="BP197" s="12">
        <f t="shared" ref="BP197:BP202" si="46">SUM(T197:BO197)</f>
        <v>13179.81</v>
      </c>
      <c r="BQ197" s="12"/>
      <c r="BR197" s="12">
        <v>0</v>
      </c>
      <c r="BS197" s="12"/>
      <c r="BT197" s="6">
        <f>IF(+R197-BP197+BR197&gt;0,R197-BP197+BR197,0)</f>
        <v>86820.19</v>
      </c>
      <c r="BU197" s="12"/>
      <c r="BV197" s="6">
        <f t="shared" ref="BV197:BV202" si="47">+BP197+BT197</f>
        <v>100000</v>
      </c>
      <c r="BW197" s="12"/>
      <c r="BX197" s="6">
        <f t="shared" ref="BX197:BX202" si="48">+R197-BV197</f>
        <v>0</v>
      </c>
      <c r="BY197" s="12"/>
    </row>
    <row r="198" spans="1:126" s="11" customFormat="1">
      <c r="A198" s="17"/>
      <c r="B198" s="11" t="s">
        <v>34</v>
      </c>
      <c r="J198" s="157"/>
      <c r="L198" s="144" t="s">
        <v>203</v>
      </c>
      <c r="M198" s="12"/>
      <c r="N198" s="12">
        <v>0</v>
      </c>
      <c r="O198" s="12"/>
      <c r="P198" s="12">
        <v>50000</v>
      </c>
      <c r="Q198" s="12"/>
      <c r="R198" s="6">
        <v>150000</v>
      </c>
      <c r="S198" s="12"/>
      <c r="T198" s="12">
        <v>0</v>
      </c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  <c r="AJ198" s="12"/>
      <c r="AK198" s="12"/>
      <c r="AL198" s="12">
        <v>67146.100000000006</v>
      </c>
      <c r="AM198" s="12"/>
      <c r="AN198" s="12">
        <v>2410.5100000000002</v>
      </c>
      <c r="AO198" s="12"/>
      <c r="AP198" s="12">
        <v>7333.62</v>
      </c>
      <c r="AQ198" s="12"/>
      <c r="AR198" s="12">
        <v>10298.6</v>
      </c>
      <c r="AS198" s="12"/>
      <c r="AT198" s="12">
        <f>9260.96+1975.58</f>
        <v>11236.539999999999</v>
      </c>
      <c r="AU198" s="12"/>
      <c r="AV198" s="12">
        <f>1851.11</f>
        <v>1851.11</v>
      </c>
      <c r="AW198" s="12"/>
      <c r="AX198" s="12">
        <v>628.05999999999995</v>
      </c>
      <c r="AY198" s="12"/>
      <c r="AZ198" s="12">
        <v>0</v>
      </c>
      <c r="BA198" s="12"/>
      <c r="BB198" s="12">
        <v>0</v>
      </c>
      <c r="BC198"/>
      <c r="BD198" s="12">
        <v>0</v>
      </c>
      <c r="BE198"/>
      <c r="BF198" s="12">
        <v>0</v>
      </c>
      <c r="BG198" s="12"/>
      <c r="BH198" s="12">
        <v>0</v>
      </c>
      <c r="BI198" s="12"/>
      <c r="BJ198" s="12">
        <v>0</v>
      </c>
      <c r="BK198" s="12"/>
      <c r="BL198" s="12">
        <v>0</v>
      </c>
      <c r="BM198" s="12"/>
      <c r="BN198" s="12">
        <v>0</v>
      </c>
      <c r="BO198" s="12"/>
      <c r="BP198" s="12">
        <f t="shared" si="46"/>
        <v>100904.54</v>
      </c>
      <c r="BQ198" s="12"/>
      <c r="BR198" s="12">
        <v>0</v>
      </c>
      <c r="BS198" s="12"/>
      <c r="BT198" s="6">
        <f>IF(+R198-BP198+BR198&gt;0,R198-BP198+BR198,0)</f>
        <v>49095.460000000006</v>
      </c>
      <c r="BU198" s="12"/>
      <c r="BV198" s="6">
        <f t="shared" si="47"/>
        <v>150000</v>
      </c>
      <c r="BW198" s="12"/>
      <c r="BX198" s="6">
        <f t="shared" si="48"/>
        <v>0</v>
      </c>
      <c r="BY198" s="12"/>
    </row>
    <row r="199" spans="1:126" s="11" customFormat="1">
      <c r="A199" s="17"/>
      <c r="B199" s="11" t="s">
        <v>217</v>
      </c>
      <c r="J199" s="157"/>
      <c r="L199" s="144" t="s">
        <v>203</v>
      </c>
      <c r="M199" s="12"/>
      <c r="N199" s="12">
        <v>0</v>
      </c>
      <c r="O199" s="12"/>
      <c r="P199" s="12">
        <v>24235</v>
      </c>
      <c r="Q199" s="12"/>
      <c r="R199" s="6">
        <f>+N199+P199</f>
        <v>24235</v>
      </c>
      <c r="S199" s="12"/>
      <c r="T199" s="12">
        <v>0</v>
      </c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  <c r="AJ199" s="12"/>
      <c r="AK199" s="12"/>
      <c r="AL199" s="12">
        <v>17043.53</v>
      </c>
      <c r="AM199" s="12"/>
      <c r="AN199" s="12">
        <v>0</v>
      </c>
      <c r="AO199" s="12"/>
      <c r="AP199" s="12">
        <v>0</v>
      </c>
      <c r="AQ199" s="12"/>
      <c r="AR199" s="12">
        <v>0</v>
      </c>
      <c r="AS199" s="12"/>
      <c r="AT199" s="12">
        <v>0</v>
      </c>
      <c r="AU199" s="12"/>
      <c r="AV199" s="12">
        <v>0</v>
      </c>
      <c r="AW199" s="12"/>
      <c r="AX199" s="12">
        <v>0</v>
      </c>
      <c r="AY199" s="12"/>
      <c r="AZ199" s="12">
        <v>0</v>
      </c>
      <c r="BA199" s="12"/>
      <c r="BB199" s="12">
        <v>0</v>
      </c>
      <c r="BC199"/>
      <c r="BD199" s="12">
        <v>0</v>
      </c>
      <c r="BE199"/>
      <c r="BF199" s="12">
        <v>0</v>
      </c>
      <c r="BG199" s="12"/>
      <c r="BH199" s="12">
        <v>0</v>
      </c>
      <c r="BI199" s="12"/>
      <c r="BJ199" s="12">
        <v>0</v>
      </c>
      <c r="BK199" s="12"/>
      <c r="BL199" s="12">
        <v>0</v>
      </c>
      <c r="BM199" s="12"/>
      <c r="BN199" s="12">
        <v>0</v>
      </c>
      <c r="BO199" s="12"/>
      <c r="BP199" s="12">
        <f t="shared" si="46"/>
        <v>17043.53</v>
      </c>
      <c r="BQ199" s="12"/>
      <c r="BR199" s="12">
        <v>0</v>
      </c>
      <c r="BS199" s="12"/>
      <c r="BT199" s="6">
        <f>IF(+R199-BP199+BR199&gt;0,R199-BP199+BR199,0)</f>
        <v>7191.4700000000012</v>
      </c>
      <c r="BU199" s="12"/>
      <c r="BV199" s="6">
        <f t="shared" si="47"/>
        <v>24235</v>
      </c>
      <c r="BW199" s="12"/>
      <c r="BX199" s="6">
        <f t="shared" si="48"/>
        <v>0</v>
      </c>
      <c r="BY199" s="12"/>
    </row>
    <row r="200" spans="1:126" s="11" customFormat="1">
      <c r="A200" s="17"/>
      <c r="B200" s="11" t="s">
        <v>121</v>
      </c>
      <c r="J200" s="157"/>
      <c r="L200" s="144" t="s">
        <v>203</v>
      </c>
      <c r="M200" s="12"/>
      <c r="N200" s="12">
        <v>400000</v>
      </c>
      <c r="O200" s="12"/>
      <c r="P200" s="12">
        <f>49065-N200-6000</f>
        <v>-356935</v>
      </c>
      <c r="Q200" s="12"/>
      <c r="R200" s="6">
        <f>43065+82700</f>
        <v>125765</v>
      </c>
      <c r="S200" s="12"/>
      <c r="T200" s="12">
        <v>0</v>
      </c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  <c r="AJ200" s="12">
        <v>5904</v>
      </c>
      <c r="AK200" s="12"/>
      <c r="AL200" s="12">
        <v>2286</v>
      </c>
      <c r="AM200" s="12"/>
      <c r="AN200" s="12"/>
      <c r="AO200" s="12"/>
      <c r="AP200" s="12">
        <v>11540.01</v>
      </c>
      <c r="AQ200" s="12"/>
      <c r="AR200" s="12">
        <f>19587.28</f>
        <v>19587.28</v>
      </c>
      <c r="AS200" s="12"/>
      <c r="AT200" s="12">
        <f>25566.56+6171+2683.37</f>
        <v>34420.93</v>
      </c>
      <c r="AU200" s="12"/>
      <c r="AV200" s="12">
        <f>28832.7+49463.67+9600</f>
        <v>87896.37</v>
      </c>
      <c r="AW200" s="12"/>
      <c r="AX200" s="12">
        <v>28768.799999999999</v>
      </c>
      <c r="AY200" s="12"/>
      <c r="AZ200" s="12">
        <v>44082.48</v>
      </c>
      <c r="BA200" s="12"/>
      <c r="BB200" s="12">
        <v>165167.82999999999</v>
      </c>
      <c r="BC200"/>
      <c r="BD200" s="12">
        <v>37080.42</v>
      </c>
      <c r="BE200"/>
      <c r="BF200" s="80">
        <f>89360+43287.29-4983+22929</f>
        <v>150593.29</v>
      </c>
      <c r="BG200" s="12"/>
      <c r="BH200" s="12">
        <f>13668.55+760.23</f>
        <v>14428.779999999999</v>
      </c>
      <c r="BI200" s="12"/>
      <c r="BJ200" s="12">
        <f>100000+19970.47+1900+3870+409.33+200</f>
        <v>126349.8</v>
      </c>
      <c r="BK200" s="12"/>
      <c r="BL200" s="12">
        <f>8835+10035-4578</f>
        <v>14292</v>
      </c>
      <c r="BM200" s="12"/>
      <c r="BN200" s="12"/>
      <c r="BO200" s="12"/>
      <c r="BP200" s="12">
        <f t="shared" si="46"/>
        <v>742397.99</v>
      </c>
      <c r="BQ200" s="12"/>
      <c r="BR200" s="12">
        <v>0</v>
      </c>
      <c r="BS200" s="12"/>
      <c r="BT200" s="6">
        <f>IF(+R200-BP200+BR200&gt;0,R200-BP200+BR200,0)</f>
        <v>0</v>
      </c>
      <c r="BU200" s="12"/>
      <c r="BV200" s="6">
        <f t="shared" si="47"/>
        <v>742397.99</v>
      </c>
      <c r="BW200" s="12"/>
      <c r="BX200" s="6">
        <f t="shared" si="48"/>
        <v>-616632.99</v>
      </c>
      <c r="BY200" s="12"/>
    </row>
    <row r="201" spans="1:126" s="11" customFormat="1">
      <c r="A201" s="17"/>
      <c r="B201" s="11" t="s">
        <v>333</v>
      </c>
      <c r="J201" s="157"/>
      <c r="L201" s="144"/>
      <c r="M201" s="12"/>
      <c r="N201" s="12"/>
      <c r="O201" s="12"/>
      <c r="P201" s="12"/>
      <c r="Q201" s="12"/>
      <c r="R201" s="6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  <c r="AJ201" s="12"/>
      <c r="AK201" s="12"/>
      <c r="AL201" s="12"/>
      <c r="AM201" s="12"/>
      <c r="AN201" s="12"/>
      <c r="AO201" s="12"/>
      <c r="AP201" s="12"/>
      <c r="AQ201" s="12"/>
      <c r="AR201" s="12">
        <v>83333.33</v>
      </c>
      <c r="AS201" s="12"/>
      <c r="AT201" s="12">
        <f>25346.24+82333.33</f>
        <v>107679.57</v>
      </c>
      <c r="AU201" s="12"/>
      <c r="AV201" s="12"/>
      <c r="AW201" s="12"/>
      <c r="AX201" s="12"/>
      <c r="AY201" s="12"/>
      <c r="AZ201" s="12"/>
      <c r="BA201" s="12"/>
      <c r="BB201" s="12"/>
      <c r="BC201"/>
      <c r="BD201" s="12"/>
      <c r="BE201"/>
      <c r="BF201" s="12"/>
      <c r="BG201" s="12"/>
      <c r="BH201" s="12"/>
      <c r="BI201" s="12"/>
      <c r="BJ201" s="12"/>
      <c r="BK201" s="12"/>
      <c r="BL201" s="12"/>
      <c r="BM201" s="12"/>
      <c r="BN201" s="12"/>
      <c r="BO201" s="12"/>
      <c r="BP201" s="12">
        <f t="shared" si="46"/>
        <v>191012.90000000002</v>
      </c>
      <c r="BQ201" s="12"/>
      <c r="BR201" s="12"/>
      <c r="BS201" s="12"/>
      <c r="BT201" s="6">
        <f>IF(+R201-BP201+BR201&gt;0,R201-BP201+BR201,0)</f>
        <v>0</v>
      </c>
      <c r="BU201" s="12"/>
      <c r="BV201" s="6">
        <f t="shared" si="47"/>
        <v>191012.90000000002</v>
      </c>
      <c r="BW201" s="12"/>
      <c r="BX201" s="6">
        <f t="shared" si="48"/>
        <v>-191012.90000000002</v>
      </c>
      <c r="BY201" s="12"/>
    </row>
    <row r="202" spans="1:126" s="11" customFormat="1">
      <c r="A202" s="17"/>
      <c r="B202" s="11" t="s">
        <v>278</v>
      </c>
      <c r="J202" s="157"/>
      <c r="L202" s="144"/>
      <c r="M202" s="12"/>
      <c r="N202" s="12"/>
      <c r="O202" s="12"/>
      <c r="P202" s="12"/>
      <c r="Q202" s="12"/>
      <c r="R202" s="6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  <c r="AJ202" s="12"/>
      <c r="AK202" s="12"/>
      <c r="AL202" s="12">
        <v>32203.279999999999</v>
      </c>
      <c r="AM202" s="12"/>
      <c r="AN202" s="12"/>
      <c r="AO202" s="12"/>
      <c r="AP202" s="12"/>
      <c r="AQ202" s="12"/>
      <c r="AR202" s="12"/>
      <c r="AS202" s="12"/>
      <c r="AT202" s="12"/>
      <c r="AU202" s="12"/>
      <c r="AV202" s="12"/>
      <c r="AW202" s="12"/>
      <c r="AX202" s="12"/>
      <c r="AY202" s="12"/>
      <c r="AZ202" s="12"/>
      <c r="BA202" s="12"/>
      <c r="BB202" s="12"/>
      <c r="BC202"/>
      <c r="BD202" s="12"/>
      <c r="BE202"/>
      <c r="BF202" s="12"/>
      <c r="BG202" s="12"/>
      <c r="BH202" s="12"/>
      <c r="BI202" s="12"/>
      <c r="BJ202" s="12"/>
      <c r="BK202" s="12"/>
      <c r="BL202" s="12"/>
      <c r="BM202" s="12"/>
      <c r="BN202" s="12"/>
      <c r="BO202" s="12"/>
      <c r="BP202" s="12">
        <f t="shared" si="46"/>
        <v>32203.279999999999</v>
      </c>
      <c r="BQ202" s="12"/>
      <c r="BR202" s="12"/>
      <c r="BS202" s="12"/>
      <c r="BT202" s="6"/>
      <c r="BU202" s="12"/>
      <c r="BV202" s="6">
        <f t="shared" si="47"/>
        <v>32203.279999999999</v>
      </c>
      <c r="BW202" s="12"/>
      <c r="BX202" s="6">
        <f t="shared" si="48"/>
        <v>-32203.279999999999</v>
      </c>
      <c r="BY202" s="12"/>
    </row>
    <row r="203" spans="1:126" s="21" customFormat="1">
      <c r="A203" s="58"/>
      <c r="B203" s="31" t="s">
        <v>40</v>
      </c>
      <c r="J203" s="8"/>
      <c r="L203" s="141"/>
      <c r="M203" s="9"/>
      <c r="N203" s="102">
        <f>SUM(N197:N200)</f>
        <v>600000</v>
      </c>
      <c r="O203" s="9"/>
      <c r="P203" s="102">
        <f>SUM(P197:P200)</f>
        <v>-282700</v>
      </c>
      <c r="Q203" s="9"/>
      <c r="R203" s="102">
        <f t="shared" ref="R203:BY203" si="49">SUM(R197:R202)</f>
        <v>400000</v>
      </c>
      <c r="S203" s="102">
        <f t="shared" si="49"/>
        <v>0</v>
      </c>
      <c r="T203" s="102">
        <f t="shared" si="49"/>
        <v>0</v>
      </c>
      <c r="U203" s="102">
        <f t="shared" si="49"/>
        <v>0</v>
      </c>
      <c r="V203" s="102">
        <f t="shared" si="49"/>
        <v>0</v>
      </c>
      <c r="W203" s="102">
        <f t="shared" si="49"/>
        <v>0</v>
      </c>
      <c r="X203" s="102">
        <f t="shared" si="49"/>
        <v>0</v>
      </c>
      <c r="Y203" s="102">
        <f t="shared" si="49"/>
        <v>0</v>
      </c>
      <c r="Z203" s="102">
        <f t="shared" si="49"/>
        <v>0</v>
      </c>
      <c r="AA203" s="102">
        <f t="shared" si="49"/>
        <v>0</v>
      </c>
      <c r="AB203" s="102">
        <f t="shared" si="49"/>
        <v>0</v>
      </c>
      <c r="AC203" s="102">
        <f t="shared" si="49"/>
        <v>0</v>
      </c>
      <c r="AD203" s="102">
        <f t="shared" si="49"/>
        <v>0</v>
      </c>
      <c r="AE203" s="102">
        <f t="shared" si="49"/>
        <v>0</v>
      </c>
      <c r="AF203" s="102">
        <f t="shared" si="49"/>
        <v>0</v>
      </c>
      <c r="AG203" s="102">
        <f t="shared" si="49"/>
        <v>0</v>
      </c>
      <c r="AH203" s="102">
        <f t="shared" si="49"/>
        <v>0</v>
      </c>
      <c r="AI203" s="102"/>
      <c r="AJ203" s="102">
        <f t="shared" si="49"/>
        <v>19083.809999999998</v>
      </c>
      <c r="AK203" s="102"/>
      <c r="AL203" s="102">
        <f t="shared" si="49"/>
        <v>118678.91</v>
      </c>
      <c r="AM203" s="102"/>
      <c r="AN203" s="102">
        <f t="shared" si="49"/>
        <v>2410.5100000000002</v>
      </c>
      <c r="AO203" s="102"/>
      <c r="AP203" s="102">
        <f t="shared" si="49"/>
        <v>18873.63</v>
      </c>
      <c r="AQ203" s="102"/>
      <c r="AR203" s="102">
        <f t="shared" si="49"/>
        <v>113219.20999999999</v>
      </c>
      <c r="AS203" s="102">
        <f t="shared" si="49"/>
        <v>0</v>
      </c>
      <c r="AT203" s="102">
        <f t="shared" si="49"/>
        <v>153337.04</v>
      </c>
      <c r="AU203" s="102">
        <f t="shared" si="49"/>
        <v>0</v>
      </c>
      <c r="AV203" s="102">
        <f t="shared" si="49"/>
        <v>89747.48</v>
      </c>
      <c r="AW203" s="102">
        <f t="shared" si="49"/>
        <v>0</v>
      </c>
      <c r="AX203" s="102">
        <f t="shared" si="49"/>
        <v>29396.86</v>
      </c>
      <c r="AY203" s="102">
        <f t="shared" si="49"/>
        <v>0</v>
      </c>
      <c r="AZ203" s="102">
        <f t="shared" si="49"/>
        <v>44082.48</v>
      </c>
      <c r="BA203" s="102">
        <f t="shared" si="49"/>
        <v>0</v>
      </c>
      <c r="BB203" s="102">
        <f t="shared" si="49"/>
        <v>165167.82999999999</v>
      </c>
      <c r="BC203"/>
      <c r="BD203" s="102">
        <f t="shared" si="49"/>
        <v>37080.42</v>
      </c>
      <c r="BE203"/>
      <c r="BF203" s="102">
        <f t="shared" si="49"/>
        <v>150593.29</v>
      </c>
      <c r="BG203" s="102">
        <f t="shared" si="49"/>
        <v>0</v>
      </c>
      <c r="BH203" s="102">
        <f t="shared" si="49"/>
        <v>14428.779999999999</v>
      </c>
      <c r="BI203" s="102">
        <f t="shared" si="49"/>
        <v>0</v>
      </c>
      <c r="BJ203" s="102">
        <f t="shared" si="49"/>
        <v>126349.8</v>
      </c>
      <c r="BK203" s="102">
        <f t="shared" si="49"/>
        <v>0</v>
      </c>
      <c r="BL203" s="102">
        <f t="shared" si="49"/>
        <v>14292</v>
      </c>
      <c r="BM203" s="102">
        <f t="shared" si="49"/>
        <v>0</v>
      </c>
      <c r="BN203" s="102">
        <f t="shared" si="49"/>
        <v>0</v>
      </c>
      <c r="BO203" s="102">
        <f t="shared" si="49"/>
        <v>0</v>
      </c>
      <c r="BP203" s="108">
        <f t="shared" si="49"/>
        <v>1096742.05</v>
      </c>
      <c r="BQ203" s="102">
        <f t="shared" si="49"/>
        <v>0</v>
      </c>
      <c r="BR203" s="102">
        <f t="shared" si="49"/>
        <v>0</v>
      </c>
      <c r="BS203" s="102">
        <f t="shared" si="49"/>
        <v>0</v>
      </c>
      <c r="BT203" s="102">
        <f t="shared" si="49"/>
        <v>143107.12000000002</v>
      </c>
      <c r="BU203" s="102">
        <f t="shared" si="49"/>
        <v>0</v>
      </c>
      <c r="BV203" s="102">
        <f t="shared" si="49"/>
        <v>1239849.1700000002</v>
      </c>
      <c r="BW203" s="102">
        <f t="shared" si="49"/>
        <v>0</v>
      </c>
      <c r="BX203" s="102">
        <f t="shared" si="49"/>
        <v>-839849.17</v>
      </c>
      <c r="BY203" s="102">
        <f t="shared" si="49"/>
        <v>0</v>
      </c>
      <c r="BZ203"/>
      <c r="CA203"/>
      <c r="CB203"/>
      <c r="CC203"/>
      <c r="CD203"/>
      <c r="CE203"/>
      <c r="CF203"/>
      <c r="CG203"/>
      <c r="CH203"/>
      <c r="CI203"/>
      <c r="CJ203"/>
      <c r="CK203"/>
      <c r="CL203"/>
      <c r="CM203"/>
      <c r="CN203"/>
      <c r="CO203"/>
      <c r="CP203"/>
      <c r="CQ203"/>
      <c r="CR203"/>
      <c r="CS203"/>
      <c r="CT203"/>
      <c r="CU203"/>
      <c r="CV203"/>
      <c r="CW203"/>
      <c r="CX203"/>
      <c r="CY203"/>
      <c r="CZ203"/>
      <c r="DA203"/>
      <c r="DB203"/>
      <c r="DC203"/>
      <c r="DD203"/>
      <c r="DE203"/>
      <c r="DF203"/>
      <c r="DG203"/>
      <c r="DH203"/>
      <c r="DI203"/>
      <c r="DJ203"/>
      <c r="DK203"/>
      <c r="DL203"/>
      <c r="DM203"/>
      <c r="DN203"/>
      <c r="DO203"/>
      <c r="DP203"/>
      <c r="DQ203"/>
      <c r="DR203"/>
      <c r="DS203"/>
      <c r="DT203"/>
      <c r="DU203"/>
      <c r="DV203"/>
    </row>
    <row r="204" spans="1:126" s="21" customFormat="1">
      <c r="A204" s="58"/>
      <c r="B204" s="31"/>
      <c r="J204" s="8"/>
      <c r="L204" s="141"/>
      <c r="M204" s="9"/>
      <c r="N204" s="10"/>
      <c r="O204" s="9"/>
      <c r="P204" s="10"/>
      <c r="Q204" s="9"/>
      <c r="R204" s="10"/>
      <c r="S204" s="9"/>
      <c r="T204" s="10"/>
      <c r="U204" s="9"/>
      <c r="V204" s="10"/>
      <c r="W204" s="9"/>
      <c r="X204" s="10"/>
      <c r="Y204" s="9"/>
      <c r="Z204" s="10"/>
      <c r="AA204" s="9"/>
      <c r="AB204" s="10"/>
      <c r="AC204" s="9"/>
      <c r="AD204" s="10"/>
      <c r="AE204" s="9"/>
      <c r="AF204" s="10"/>
      <c r="AG204" s="9"/>
      <c r="AH204" s="10"/>
      <c r="AI204" s="9"/>
      <c r="AJ204" s="10"/>
      <c r="AK204" s="9"/>
      <c r="AL204" s="10"/>
      <c r="AM204" s="9"/>
      <c r="AN204" s="10"/>
      <c r="AO204" s="9"/>
      <c r="AP204" s="10"/>
      <c r="AQ204" s="9"/>
      <c r="AR204" s="10"/>
      <c r="AS204" s="9"/>
      <c r="AT204" s="10"/>
      <c r="AU204" s="9"/>
      <c r="AV204" s="10"/>
      <c r="AW204" s="10"/>
      <c r="AX204" s="10"/>
      <c r="AY204" s="10"/>
      <c r="AZ204" s="10"/>
      <c r="BA204" s="10"/>
      <c r="BB204" s="10"/>
      <c r="BC204"/>
      <c r="BD204" s="10"/>
      <c r="BE204"/>
      <c r="BF204" s="10"/>
      <c r="BG204" s="10"/>
      <c r="BH204" s="10"/>
      <c r="BI204" s="10"/>
      <c r="BJ204" s="10"/>
      <c r="BK204" s="10"/>
      <c r="BL204" s="10"/>
      <c r="BM204" s="9"/>
      <c r="BN204" s="10"/>
      <c r="BO204" s="9"/>
      <c r="BP204" s="10"/>
      <c r="BQ204" s="9"/>
      <c r="BR204" s="10"/>
      <c r="BS204" s="9"/>
      <c r="BT204" s="10"/>
      <c r="BU204" s="9"/>
      <c r="BV204" s="10"/>
      <c r="BW204" s="9"/>
      <c r="BX204" s="10"/>
      <c r="BY204" s="9"/>
      <c r="BZ204"/>
      <c r="CA204"/>
      <c r="CB204"/>
      <c r="CC204"/>
      <c r="CD204"/>
      <c r="CE204"/>
      <c r="CF204"/>
      <c r="CG204"/>
      <c r="CH204"/>
      <c r="CI204"/>
      <c r="CJ204"/>
      <c r="CK204"/>
      <c r="CL204"/>
      <c r="CM204"/>
      <c r="CN204"/>
      <c r="CO204"/>
      <c r="CP204"/>
      <c r="CQ204"/>
      <c r="CR204"/>
      <c r="CS204"/>
      <c r="CT204"/>
      <c r="CU204"/>
      <c r="CV204"/>
      <c r="CW204"/>
      <c r="CX204"/>
      <c r="CY204"/>
      <c r="CZ204"/>
      <c r="DA204"/>
      <c r="DB204"/>
      <c r="DC204"/>
      <c r="DD204"/>
      <c r="DE204"/>
      <c r="DF204"/>
      <c r="DG204"/>
      <c r="DH204"/>
      <c r="DI204"/>
      <c r="DJ204"/>
      <c r="DK204"/>
      <c r="DL204"/>
      <c r="DM204"/>
      <c r="DN204"/>
      <c r="DO204"/>
      <c r="DP204"/>
      <c r="DQ204"/>
      <c r="DR204"/>
      <c r="DS204"/>
      <c r="DT204"/>
      <c r="DU204"/>
      <c r="DV204"/>
    </row>
    <row r="205" spans="1:126">
      <c r="A205" s="58" t="s">
        <v>35</v>
      </c>
      <c r="B205" s="11"/>
      <c r="C205"/>
      <c r="D205"/>
      <c r="E205"/>
      <c r="F205"/>
      <c r="G205"/>
      <c r="H205"/>
      <c r="I205"/>
      <c r="J205" s="49"/>
      <c r="K205"/>
      <c r="L205" s="132"/>
      <c r="M205" s="6"/>
      <c r="O205" s="6"/>
      <c r="Q205" s="6"/>
      <c r="S205" s="6"/>
      <c r="T205" s="6"/>
      <c r="U205" s="12"/>
      <c r="V205" s="6"/>
      <c r="W205" s="12"/>
      <c r="X205" s="6"/>
      <c r="Y205" s="12"/>
      <c r="Z205" s="6"/>
      <c r="AA205" s="12"/>
      <c r="AB205" s="6"/>
      <c r="AC205" s="12"/>
      <c r="AD205" s="6"/>
      <c r="AE205" s="12"/>
      <c r="AG205" s="12"/>
      <c r="AI205" s="12"/>
      <c r="AK205" s="12"/>
      <c r="AM205" s="12"/>
      <c r="AO205" s="12"/>
      <c r="AQ205" s="12"/>
      <c r="AS205" s="12"/>
      <c r="AU205" s="12"/>
      <c r="BL205" s="6"/>
      <c r="BM205" s="6"/>
      <c r="BN205" s="6"/>
      <c r="BO205" s="6"/>
      <c r="BQ205" s="6"/>
      <c r="BR205" s="6"/>
      <c r="BS205" s="6"/>
      <c r="BY205" s="12"/>
      <c r="BZ205"/>
      <c r="CA205"/>
      <c r="CB205"/>
      <c r="CC205"/>
      <c r="CD205"/>
      <c r="CE205"/>
      <c r="CF205"/>
      <c r="CG205"/>
      <c r="CH205"/>
      <c r="CI205"/>
      <c r="CJ205"/>
      <c r="CK205"/>
      <c r="CL205"/>
      <c r="CM205"/>
      <c r="CN205"/>
      <c r="CO205"/>
      <c r="CP205"/>
      <c r="CQ205"/>
      <c r="CR205"/>
      <c r="CS205"/>
      <c r="CT205"/>
      <c r="CU205"/>
      <c r="CV205"/>
      <c r="CW205"/>
      <c r="CX205"/>
      <c r="CY205"/>
      <c r="CZ205"/>
      <c r="DA205"/>
      <c r="DB205"/>
      <c r="DC205"/>
      <c r="DD205"/>
      <c r="DE205"/>
      <c r="DF205"/>
      <c r="DG205"/>
      <c r="DH205"/>
      <c r="DI205"/>
      <c r="DJ205"/>
      <c r="DK205"/>
      <c r="DL205"/>
      <c r="DM205"/>
      <c r="DN205"/>
      <c r="DO205"/>
      <c r="DP205"/>
      <c r="DQ205"/>
      <c r="DR205"/>
      <c r="DS205"/>
      <c r="DT205"/>
      <c r="DU205"/>
      <c r="DV205"/>
    </row>
    <row r="206" spans="1:126" s="11" customFormat="1">
      <c r="A206" s="17"/>
      <c r="B206" s="11" t="s">
        <v>291</v>
      </c>
      <c r="J206" s="157"/>
      <c r="L206" s="144" t="s">
        <v>203</v>
      </c>
      <c r="M206" s="12"/>
      <c r="N206" s="12">
        <v>0</v>
      </c>
      <c r="O206" s="12"/>
      <c r="P206" s="12">
        <f>300000-5511</f>
        <v>294489</v>
      </c>
      <c r="Q206" s="12"/>
      <c r="R206" s="6">
        <v>500000</v>
      </c>
      <c r="S206" s="12"/>
      <c r="T206" s="12">
        <v>0</v>
      </c>
      <c r="U206" s="12"/>
      <c r="V206" s="12">
        <v>0</v>
      </c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  <c r="AJ206" s="273"/>
      <c r="AK206" s="12"/>
      <c r="AL206" s="12">
        <v>14302.18</v>
      </c>
      <c r="AM206" s="12"/>
      <c r="AN206" s="12">
        <v>13885.7</v>
      </c>
      <c r="AO206" s="12"/>
      <c r="AP206" s="12">
        <v>27414.720000000001</v>
      </c>
      <c r="AQ206" s="12"/>
      <c r="AR206" s="12">
        <v>13907.58</v>
      </c>
      <c r="AS206" s="12"/>
      <c r="AT206" s="273"/>
      <c r="AU206" s="12"/>
      <c r="AV206" s="12">
        <v>0</v>
      </c>
      <c r="AW206" s="12"/>
      <c r="AX206" s="12">
        <v>0</v>
      </c>
      <c r="AY206" s="12"/>
      <c r="AZ206" s="12">
        <v>0</v>
      </c>
      <c r="BA206" s="12"/>
      <c r="BB206" s="12">
        <v>0</v>
      </c>
      <c r="BC206"/>
      <c r="BD206" s="12">
        <v>0</v>
      </c>
      <c r="BE206"/>
      <c r="BF206" s="12">
        <f>15772.76+105510.2+116272.26</f>
        <v>237555.21999999997</v>
      </c>
      <c r="BG206" s="12"/>
      <c r="BH206" s="12">
        <v>0</v>
      </c>
      <c r="BI206" s="12"/>
      <c r="BJ206" s="12">
        <v>0</v>
      </c>
      <c r="BK206" s="12"/>
      <c r="BL206" s="12">
        <v>0</v>
      </c>
      <c r="BM206" s="12"/>
      <c r="BN206" s="12">
        <v>0</v>
      </c>
      <c r="BO206" s="12"/>
      <c r="BP206" s="12">
        <f>SUM(T206:BO206)</f>
        <v>307065.39999999997</v>
      </c>
      <c r="BQ206" s="12"/>
      <c r="BR206" s="12">
        <v>0</v>
      </c>
      <c r="BS206" s="12"/>
      <c r="BT206" s="6">
        <f>IF(+R206-BP206+BR206&gt;0,R206-BP206+BR206,0)</f>
        <v>192934.60000000003</v>
      </c>
      <c r="BU206" s="12"/>
      <c r="BV206" s="6">
        <f>+BP206+BT206</f>
        <v>500000</v>
      </c>
      <c r="BW206" s="12"/>
      <c r="BX206" s="6">
        <f>+R206-BV206</f>
        <v>0</v>
      </c>
      <c r="BY206" s="12"/>
      <c r="BZ206"/>
      <c r="CA206"/>
      <c r="CB206"/>
      <c r="CC206"/>
      <c r="CD206"/>
      <c r="CE206"/>
      <c r="CF206"/>
      <c r="CG206"/>
      <c r="CH206"/>
      <c r="CI206"/>
      <c r="CJ206"/>
      <c r="CK206"/>
      <c r="CL206"/>
      <c r="CM206"/>
      <c r="CN206"/>
      <c r="CO206"/>
      <c r="CP206"/>
      <c r="CQ206"/>
      <c r="CR206"/>
      <c r="CS206"/>
      <c r="CT206"/>
      <c r="CU206"/>
      <c r="CV206"/>
      <c r="CW206"/>
      <c r="CX206"/>
      <c r="CY206"/>
      <c r="CZ206"/>
      <c r="DA206"/>
      <c r="DB206"/>
      <c r="DC206"/>
      <c r="DD206"/>
      <c r="DE206"/>
      <c r="DF206"/>
      <c r="DG206"/>
      <c r="DH206"/>
      <c r="DI206"/>
      <c r="DJ206"/>
      <c r="DK206"/>
      <c r="DL206"/>
      <c r="DM206"/>
      <c r="DN206"/>
      <c r="DO206"/>
      <c r="DP206"/>
      <c r="DQ206"/>
      <c r="DR206"/>
      <c r="DS206"/>
      <c r="DT206"/>
      <c r="DU206"/>
      <c r="DV206"/>
    </row>
    <row r="207" spans="1:126" s="11" customFormat="1">
      <c r="A207" s="17"/>
      <c r="B207" s="11" t="s">
        <v>341</v>
      </c>
      <c r="J207" s="157"/>
      <c r="L207" s="144" t="s">
        <v>203</v>
      </c>
      <c r="M207" s="12"/>
      <c r="N207" s="12">
        <v>500000</v>
      </c>
      <c r="O207" s="12"/>
      <c r="P207" s="12">
        <f>-300000-10271.2</f>
        <v>-310271.2</v>
      </c>
      <c r="Q207" s="12"/>
      <c r="R207" s="6">
        <v>0</v>
      </c>
      <c r="S207" s="12"/>
      <c r="T207" s="12">
        <v>0</v>
      </c>
      <c r="U207" s="12"/>
      <c r="V207" s="12">
        <v>0</v>
      </c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  <c r="AJ207" s="12"/>
      <c r="AK207" s="12"/>
      <c r="AL207" s="12"/>
      <c r="AM207" s="12"/>
      <c r="AN207" s="12">
        <v>0</v>
      </c>
      <c r="AO207" s="12"/>
      <c r="AP207" s="12">
        <v>0</v>
      </c>
      <c r="AQ207" s="12"/>
      <c r="AR207" s="12">
        <v>0</v>
      </c>
      <c r="AS207" s="12"/>
      <c r="AT207" s="12">
        <f>165893.1+86315.36</f>
        <v>252208.46000000002</v>
      </c>
      <c r="AU207" s="12"/>
      <c r="AV207" s="12">
        <v>0</v>
      </c>
      <c r="AW207" s="12"/>
      <c r="AX207" s="12">
        <v>0</v>
      </c>
      <c r="AY207" s="12"/>
      <c r="AZ207" s="12">
        <v>0</v>
      </c>
      <c r="BA207" s="12"/>
      <c r="BB207" s="12">
        <v>0</v>
      </c>
      <c r="BC207"/>
      <c r="BD207" s="12">
        <v>0</v>
      </c>
      <c r="BE207"/>
      <c r="BF207" s="12">
        <v>0</v>
      </c>
      <c r="BG207" s="12"/>
      <c r="BH207" s="12">
        <v>0</v>
      </c>
      <c r="BI207" s="12"/>
      <c r="BJ207" s="12">
        <v>0</v>
      </c>
      <c r="BK207" s="12"/>
      <c r="BL207" s="12">
        <v>0</v>
      </c>
      <c r="BM207" s="12"/>
      <c r="BN207" s="12">
        <v>0</v>
      </c>
      <c r="BO207" s="12"/>
      <c r="BP207" s="12">
        <f>SUM(T207:BO207)</f>
        <v>252208.46000000002</v>
      </c>
      <c r="BQ207" s="12"/>
      <c r="BR207" s="12">
        <v>0</v>
      </c>
      <c r="BS207" s="12"/>
      <c r="BT207" s="6">
        <f>IF(+R207-BP207+BR207&gt;0,R207-BP207+BR207,0)</f>
        <v>0</v>
      </c>
      <c r="BU207" s="12"/>
      <c r="BV207" s="6">
        <f>+BP207+BT207</f>
        <v>252208.46000000002</v>
      </c>
      <c r="BW207" s="12"/>
      <c r="BX207" s="6">
        <f>+R207-BV207</f>
        <v>-252208.46000000002</v>
      </c>
      <c r="BY207" s="12"/>
      <c r="BZ207"/>
      <c r="CA207"/>
      <c r="CB207"/>
      <c r="CC207"/>
      <c r="CD207"/>
      <c r="CE207"/>
      <c r="CF207"/>
      <c r="CG207"/>
      <c r="CH207"/>
      <c r="CI207"/>
      <c r="CJ207"/>
      <c r="CK207"/>
      <c r="CL207"/>
      <c r="CM207"/>
      <c r="CN207"/>
      <c r="CO207"/>
      <c r="CP207"/>
      <c r="CQ207"/>
      <c r="CR207"/>
      <c r="CS207"/>
      <c r="CT207"/>
      <c r="CU207"/>
      <c r="CV207"/>
      <c r="CW207"/>
      <c r="CX207"/>
      <c r="CY207"/>
      <c r="CZ207"/>
      <c r="DA207"/>
      <c r="DB207"/>
      <c r="DC207"/>
      <c r="DD207"/>
      <c r="DE207"/>
      <c r="DF207"/>
      <c r="DG207"/>
      <c r="DH207"/>
      <c r="DI207"/>
      <c r="DJ207"/>
      <c r="DK207"/>
      <c r="DL207"/>
      <c r="DM207"/>
      <c r="DN207"/>
      <c r="DO207"/>
      <c r="DP207"/>
      <c r="DQ207"/>
      <c r="DR207"/>
      <c r="DS207"/>
      <c r="DT207"/>
      <c r="DU207"/>
      <c r="DV207"/>
    </row>
    <row r="208" spans="1:126" s="11" customFormat="1">
      <c r="A208" s="17"/>
      <c r="J208" s="157"/>
      <c r="L208" s="144"/>
      <c r="M208" s="12"/>
      <c r="N208" s="12"/>
      <c r="O208" s="12"/>
      <c r="P208" s="12">
        <v>5511</v>
      </c>
      <c r="Q208" s="12"/>
      <c r="R208" s="6">
        <v>0</v>
      </c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  <c r="AJ208" s="12"/>
      <c r="AK208" s="12"/>
      <c r="AL208" s="12"/>
      <c r="AM208" s="12"/>
      <c r="AN208" s="12"/>
      <c r="AO208" s="12"/>
      <c r="AP208" s="12"/>
      <c r="AQ208" s="12"/>
      <c r="AR208" s="12"/>
      <c r="AS208" s="12"/>
      <c r="AT208" s="12"/>
      <c r="AU208" s="12"/>
      <c r="AV208" s="12"/>
      <c r="AW208" s="12"/>
      <c r="AX208" s="12"/>
      <c r="AY208" s="12"/>
      <c r="AZ208" s="12"/>
      <c r="BA208" s="12"/>
      <c r="BB208" s="12"/>
      <c r="BC208"/>
      <c r="BD208" s="12"/>
      <c r="BE208"/>
      <c r="BF208" s="12"/>
      <c r="BG208" s="12"/>
      <c r="BH208" s="12"/>
      <c r="BI208" s="12"/>
      <c r="BJ208" s="12"/>
      <c r="BK208" s="12"/>
      <c r="BL208" s="12"/>
      <c r="BM208" s="12"/>
      <c r="BN208" s="12"/>
      <c r="BO208" s="12"/>
      <c r="BP208" s="12">
        <f>SUM(T208:BO208)</f>
        <v>0</v>
      </c>
      <c r="BQ208" s="12"/>
      <c r="BR208" s="12">
        <v>0</v>
      </c>
      <c r="BS208" s="12"/>
      <c r="BT208" s="6">
        <f>IF(+R208-BP208+BR208&gt;0,R208-BP208+BR208,0)</f>
        <v>0</v>
      </c>
      <c r="BU208" s="12"/>
      <c r="BV208" s="6">
        <f>+BP208+BT208</f>
        <v>0</v>
      </c>
      <c r="BW208" s="12"/>
      <c r="BX208" s="6">
        <f>+R208-BV208</f>
        <v>0</v>
      </c>
      <c r="BY208" s="12"/>
      <c r="BZ208"/>
      <c r="CA208"/>
      <c r="CB208"/>
      <c r="CC208"/>
      <c r="CD208"/>
      <c r="CE208"/>
      <c r="CF208"/>
      <c r="CG208"/>
      <c r="CH208"/>
      <c r="CI208"/>
      <c r="CJ208"/>
      <c r="CK208"/>
      <c r="CL208"/>
      <c r="CM208"/>
      <c r="CN208"/>
      <c r="CO208"/>
      <c r="CP208"/>
      <c r="CQ208"/>
      <c r="CR208"/>
      <c r="CS208"/>
      <c r="CT208"/>
      <c r="CU208"/>
      <c r="CV208"/>
      <c r="CW208"/>
      <c r="CX208"/>
      <c r="CY208"/>
      <c r="CZ208"/>
      <c r="DA208"/>
      <c r="DB208"/>
      <c r="DC208"/>
      <c r="DD208"/>
      <c r="DE208"/>
      <c r="DF208"/>
      <c r="DG208"/>
      <c r="DH208"/>
      <c r="DI208"/>
      <c r="DJ208"/>
      <c r="DK208"/>
      <c r="DL208"/>
      <c r="DM208"/>
      <c r="DN208"/>
      <c r="DO208"/>
      <c r="DP208"/>
      <c r="DQ208"/>
      <c r="DR208"/>
      <c r="DS208"/>
      <c r="DT208"/>
      <c r="DU208"/>
      <c r="DV208"/>
    </row>
    <row r="209" spans="1:126" s="21" customFormat="1">
      <c r="A209" s="58"/>
      <c r="B209" s="31" t="s">
        <v>41</v>
      </c>
      <c r="J209" s="8"/>
      <c r="L209" s="141"/>
      <c r="M209" s="9"/>
      <c r="N209" s="102">
        <f>SUM(N206:N208)</f>
        <v>500000</v>
      </c>
      <c r="O209" s="102">
        <f>SUM(O206:O208)</f>
        <v>0</v>
      </c>
      <c r="P209" s="102">
        <f>SUM(P206:P208)</f>
        <v>-10271.200000000012</v>
      </c>
      <c r="Q209" s="102">
        <f>SUM(Q206:Q208)</f>
        <v>0</v>
      </c>
      <c r="R209" s="102">
        <f>SUM(R206:R208)</f>
        <v>500000</v>
      </c>
      <c r="S209" s="9"/>
      <c r="T209" s="102">
        <f>SUM(T206:T208)</f>
        <v>0</v>
      </c>
      <c r="U209" s="9"/>
      <c r="V209" s="102">
        <f>SUM(V206:V208)</f>
        <v>0</v>
      </c>
      <c r="W209" s="9"/>
      <c r="X209" s="102">
        <f>SUM(X206:X208)</f>
        <v>0</v>
      </c>
      <c r="Y209" s="9"/>
      <c r="Z209" s="102">
        <f>SUM(Z206:Z208)</f>
        <v>0</v>
      </c>
      <c r="AA209" s="9"/>
      <c r="AB209" s="102">
        <f>SUM(AB206:AB208)</f>
        <v>0</v>
      </c>
      <c r="AC209" s="9"/>
      <c r="AD209" s="102">
        <f>SUM(AD206:AD208)</f>
        <v>0</v>
      </c>
      <c r="AE209" s="9"/>
      <c r="AF209" s="102">
        <f>SUM(AF206:AF208)</f>
        <v>0</v>
      </c>
      <c r="AG209" s="9"/>
      <c r="AH209" s="102">
        <f>SUM(AH206:AH208)</f>
        <v>0</v>
      </c>
      <c r="AI209" s="9"/>
      <c r="AJ209" s="102">
        <f>SUM(AJ206:AJ208)</f>
        <v>0</v>
      </c>
      <c r="AK209" s="9"/>
      <c r="AL209" s="102">
        <f>SUM(AL206:AL208)</f>
        <v>14302.18</v>
      </c>
      <c r="AM209" s="102"/>
      <c r="AN209" s="102">
        <f>SUM(AN206:AN208)</f>
        <v>13885.7</v>
      </c>
      <c r="AO209" s="9"/>
      <c r="AP209" s="102">
        <f>SUM(AP206:AP208)</f>
        <v>27414.720000000001</v>
      </c>
      <c r="AQ209" s="9"/>
      <c r="AR209" s="102">
        <f>SUM(AR206:AR208)</f>
        <v>13907.58</v>
      </c>
      <c r="AS209" s="9"/>
      <c r="AT209" s="102">
        <f>SUM(AT206:AT208)</f>
        <v>252208.46000000002</v>
      </c>
      <c r="AU209" s="9"/>
      <c r="AV209" s="102">
        <f>SUM(AV206:AV208)</f>
        <v>0</v>
      </c>
      <c r="AW209" s="10"/>
      <c r="AX209" s="102">
        <f>SUM(AX206:AX208)</f>
        <v>0</v>
      </c>
      <c r="AY209" s="10"/>
      <c r="AZ209" s="102">
        <f>SUM(AZ206:AZ208)</f>
        <v>0</v>
      </c>
      <c r="BA209" s="10"/>
      <c r="BB209" s="102">
        <f>SUM(BB206:BB208)</f>
        <v>0</v>
      </c>
      <c r="BC209"/>
      <c r="BD209" s="102">
        <f>SUM(BD206:BD208)</f>
        <v>0</v>
      </c>
      <c r="BE209"/>
      <c r="BF209" s="102">
        <f>SUM(BF206:BF208)</f>
        <v>237555.21999999997</v>
      </c>
      <c r="BG209" s="10"/>
      <c r="BH209" s="102">
        <f>SUM(BH206:BH208)</f>
        <v>0</v>
      </c>
      <c r="BI209" s="10"/>
      <c r="BJ209" s="102">
        <f>SUM(BJ206:BJ208)</f>
        <v>0</v>
      </c>
      <c r="BK209" s="10"/>
      <c r="BL209" s="102">
        <f>SUM(BL206:BL208)</f>
        <v>0</v>
      </c>
      <c r="BM209" s="9"/>
      <c r="BN209" s="102">
        <f>SUM(BN206:BN208)</f>
        <v>0</v>
      </c>
      <c r="BO209" s="9"/>
      <c r="BP209" s="108">
        <f>SUM(BP206:BP208)</f>
        <v>559273.86</v>
      </c>
      <c r="BQ209" s="9"/>
      <c r="BR209" s="102">
        <f>SUM(BR206:BR208)</f>
        <v>0</v>
      </c>
      <c r="BS209" s="9"/>
      <c r="BT209" s="102">
        <f>SUM(BT206:BT208)</f>
        <v>192934.60000000003</v>
      </c>
      <c r="BU209" s="9"/>
      <c r="BV209" s="102">
        <f>SUM(BV206:BV208)</f>
        <v>752208.46</v>
      </c>
      <c r="BW209" s="9"/>
      <c r="BX209" s="102">
        <f>SUM(BX206:BX208)</f>
        <v>-252208.46000000002</v>
      </c>
      <c r="BY209" s="9"/>
      <c r="BZ209"/>
      <c r="CA209"/>
      <c r="CB209"/>
      <c r="CC209"/>
      <c r="CD209"/>
      <c r="CE209"/>
      <c r="CF209"/>
      <c r="CG209"/>
      <c r="CH209"/>
      <c r="CI209"/>
      <c r="CJ209"/>
      <c r="CK209"/>
      <c r="CL209"/>
      <c r="CM209"/>
      <c r="CN209"/>
      <c r="CO209"/>
      <c r="CP209"/>
      <c r="CQ209"/>
      <c r="CR209"/>
      <c r="CS209"/>
      <c r="CT209"/>
      <c r="CU209"/>
      <c r="CV209"/>
      <c r="CW209"/>
      <c r="CX209"/>
      <c r="CY209"/>
      <c r="CZ209"/>
      <c r="DA209"/>
      <c r="DB209"/>
      <c r="DC209"/>
      <c r="DD209"/>
      <c r="DE209"/>
      <c r="DF209"/>
      <c r="DG209"/>
      <c r="DH209"/>
      <c r="DI209"/>
      <c r="DJ209"/>
      <c r="DK209"/>
      <c r="DL209"/>
      <c r="DM209"/>
      <c r="DN209"/>
      <c r="DO209"/>
      <c r="DP209"/>
      <c r="DQ209"/>
      <c r="DR209"/>
      <c r="DS209"/>
      <c r="DT209"/>
      <c r="DU209"/>
      <c r="DV209"/>
    </row>
    <row r="210" spans="1:126" s="21" customFormat="1">
      <c r="A210" s="58"/>
      <c r="B210" s="31"/>
      <c r="J210" s="8"/>
      <c r="L210" s="141"/>
      <c r="M210" s="9"/>
      <c r="N210" s="10"/>
      <c r="O210" s="10"/>
      <c r="P210" s="10"/>
      <c r="Q210" s="10"/>
      <c r="R210" s="10"/>
      <c r="S210" s="9"/>
      <c r="T210" s="10"/>
      <c r="U210" s="9"/>
      <c r="V210" s="10"/>
      <c r="W210" s="9"/>
      <c r="X210" s="10"/>
      <c r="Y210" s="9"/>
      <c r="Z210" s="10"/>
      <c r="AA210" s="9"/>
      <c r="AB210" s="10"/>
      <c r="AC210" s="9"/>
      <c r="AD210" s="10"/>
      <c r="AE210" s="9"/>
      <c r="AF210" s="10"/>
      <c r="AG210" s="9"/>
      <c r="AH210" s="10"/>
      <c r="AI210" s="9"/>
      <c r="AJ210" s="10"/>
      <c r="AK210" s="9"/>
      <c r="AL210" s="10"/>
      <c r="AM210" s="9"/>
      <c r="AN210" s="10"/>
      <c r="AO210" s="9"/>
      <c r="AP210" s="10"/>
      <c r="AQ210" s="9"/>
      <c r="AR210" s="10"/>
      <c r="AS210" s="9"/>
      <c r="AT210" s="10"/>
      <c r="AU210" s="9"/>
      <c r="AV210" s="10"/>
      <c r="AW210" s="10"/>
      <c r="AX210" s="10"/>
      <c r="AY210" s="10"/>
      <c r="AZ210" s="10"/>
      <c r="BA210" s="10"/>
      <c r="BB210" s="10"/>
      <c r="BC210"/>
      <c r="BD210" s="10"/>
      <c r="BE210"/>
      <c r="BF210" s="10"/>
      <c r="BG210" s="10"/>
      <c r="BH210" s="10"/>
      <c r="BI210" s="10"/>
      <c r="BJ210" s="10"/>
      <c r="BK210" s="10"/>
      <c r="BL210" s="10"/>
      <c r="BM210" s="9"/>
      <c r="BN210" s="10"/>
      <c r="BO210" s="9"/>
      <c r="BP210" s="10"/>
      <c r="BQ210" s="9"/>
      <c r="BR210" s="10"/>
      <c r="BS210" s="9"/>
      <c r="BT210" s="10"/>
      <c r="BU210" s="9"/>
      <c r="BV210" s="10"/>
      <c r="BW210" s="9"/>
      <c r="BX210" s="10"/>
      <c r="BY210" s="9"/>
      <c r="BZ210"/>
      <c r="CA210"/>
      <c r="CB210"/>
      <c r="CC210"/>
      <c r="CD210"/>
      <c r="CE210"/>
      <c r="CF210"/>
      <c r="CG210"/>
      <c r="CH210"/>
      <c r="CI210"/>
      <c r="CJ210"/>
      <c r="CK210"/>
      <c r="CL210"/>
      <c r="CM210"/>
      <c r="CN210"/>
      <c r="CO210"/>
      <c r="CP210"/>
      <c r="CQ210"/>
      <c r="CR210"/>
      <c r="CS210"/>
      <c r="CT210"/>
      <c r="CU210"/>
      <c r="CV210"/>
      <c r="CW210"/>
      <c r="CX210"/>
      <c r="CY210"/>
      <c r="CZ210"/>
      <c r="DA210"/>
      <c r="DB210"/>
      <c r="DC210"/>
      <c r="DD210"/>
      <c r="DE210"/>
      <c r="DF210"/>
      <c r="DG210"/>
      <c r="DH210"/>
      <c r="DI210"/>
      <c r="DJ210"/>
      <c r="DK210"/>
      <c r="DL210"/>
      <c r="DM210"/>
      <c r="DN210"/>
      <c r="DO210"/>
      <c r="DP210"/>
      <c r="DQ210"/>
      <c r="DR210"/>
      <c r="DS210"/>
      <c r="DT210"/>
      <c r="DU210"/>
      <c r="DV210"/>
    </row>
    <row r="211" spans="1:126" s="31" customFormat="1">
      <c r="A211" s="58" t="s">
        <v>249</v>
      </c>
      <c r="J211" s="156"/>
      <c r="L211" s="143" t="s">
        <v>202</v>
      </c>
      <c r="M211" s="10"/>
      <c r="N211" s="10">
        <v>10922239</v>
      </c>
      <c r="O211" s="10"/>
      <c r="P211" s="10">
        <f>10969926-N211</f>
        <v>47687</v>
      </c>
      <c r="Q211" s="10"/>
      <c r="R211" s="9">
        <v>11340044</v>
      </c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>
        <v>-6078</v>
      </c>
      <c r="AK211" s="10"/>
      <c r="AL211" s="10">
        <v>4332940</v>
      </c>
      <c r="AM211" s="10"/>
      <c r="AN211" s="10">
        <f>[1]Gleason!$M$40</f>
        <v>505668.93</v>
      </c>
      <c r="AO211" s="10"/>
      <c r="AP211" s="10">
        <f>[1]Gleason!$N$40</f>
        <v>517447.92267638887</v>
      </c>
      <c r="AQ211" s="10"/>
      <c r="AR211" s="10">
        <f>[1]Gleason!$O$40</f>
        <v>557933.42322977481</v>
      </c>
      <c r="AS211" s="10"/>
      <c r="AT211" s="10">
        <f>[1]Gleason!$P$40</f>
        <v>574337.94527365838</v>
      </c>
      <c r="AU211" s="10"/>
      <c r="AV211" s="10">
        <f>[1]Gleason!$Q$40</f>
        <v>616751.79694111284</v>
      </c>
      <c r="AW211" s="10"/>
      <c r="AX211" s="10">
        <f>[1]Gleason!$R$40</f>
        <v>657673.00806343276</v>
      </c>
      <c r="AY211" s="10"/>
      <c r="AZ211" s="10">
        <f>[1]Gleason!$S$40</f>
        <v>719263.87615433196</v>
      </c>
      <c r="BA211" s="10"/>
      <c r="BB211" s="80">
        <v>785204.91003593185</v>
      </c>
      <c r="BC211"/>
      <c r="BD211" s="10">
        <v>806550</v>
      </c>
      <c r="BE211"/>
      <c r="BF211" s="10">
        <f>[1]Gleason!$V$40-6077-71</f>
        <v>590762.34129285498</v>
      </c>
      <c r="BG211" s="10"/>
      <c r="BH211" s="10">
        <v>0</v>
      </c>
      <c r="BI211" s="10"/>
      <c r="BJ211" s="10">
        <v>0</v>
      </c>
      <c r="BK211" s="10"/>
      <c r="BL211" s="10">
        <v>0</v>
      </c>
      <c r="BM211" s="10"/>
      <c r="BN211" s="10">
        <v>0</v>
      </c>
      <c r="BO211" s="10"/>
      <c r="BP211" s="10">
        <f>SUM(T211:BO211)</f>
        <v>10658456.153667485</v>
      </c>
      <c r="BQ211" s="10"/>
      <c r="BR211" s="10"/>
      <c r="BS211" s="10"/>
      <c r="BT211" s="6"/>
      <c r="BU211" s="10"/>
      <c r="BV211" s="9">
        <f>+BP211+BT211</f>
        <v>10658456.153667485</v>
      </c>
      <c r="BW211" s="10"/>
      <c r="BX211" s="9">
        <f>+R211-BV211</f>
        <v>681587.84633251466</v>
      </c>
      <c r="BY211" s="10"/>
      <c r="BZ211"/>
      <c r="CA211"/>
      <c r="CB211"/>
      <c r="CC211"/>
      <c r="CD211"/>
      <c r="CE211"/>
      <c r="CF211"/>
      <c r="CG211"/>
      <c r="CH211"/>
      <c r="CI211"/>
      <c r="CJ211"/>
      <c r="CK211"/>
      <c r="CL211"/>
      <c r="CM211"/>
      <c r="CN211"/>
      <c r="CO211"/>
      <c r="CP211"/>
      <c r="CQ211"/>
      <c r="CR211"/>
      <c r="CS211"/>
      <c r="CT211"/>
      <c r="CU211"/>
      <c r="CV211"/>
      <c r="CW211"/>
      <c r="CX211"/>
      <c r="CY211"/>
      <c r="CZ211"/>
      <c r="DA211"/>
      <c r="DB211"/>
      <c r="DC211"/>
      <c r="DD211"/>
      <c r="DE211"/>
      <c r="DF211"/>
      <c r="DG211"/>
      <c r="DH211"/>
      <c r="DI211"/>
      <c r="DJ211"/>
      <c r="DK211"/>
      <c r="DL211"/>
      <c r="DM211"/>
      <c r="DN211"/>
      <c r="DO211"/>
      <c r="DP211"/>
      <c r="DQ211"/>
      <c r="DR211"/>
      <c r="DS211"/>
      <c r="DT211"/>
      <c r="DU211"/>
      <c r="DV211"/>
    </row>
    <row r="212" spans="1:126" s="21" customFormat="1">
      <c r="A212" s="58"/>
      <c r="B212" s="31"/>
      <c r="J212" s="8"/>
      <c r="L212" s="141"/>
      <c r="M212" s="9"/>
      <c r="N212" s="10"/>
      <c r="O212" s="9"/>
      <c r="P212" s="10"/>
      <c r="Q212" s="9"/>
      <c r="R212" s="10"/>
      <c r="S212" s="9"/>
      <c r="T212" s="10"/>
      <c r="U212" s="9"/>
      <c r="V212" s="10"/>
      <c r="W212" s="9"/>
      <c r="X212" s="10"/>
      <c r="Y212" s="9"/>
      <c r="Z212" s="10"/>
      <c r="AA212" s="9"/>
      <c r="AB212" s="10"/>
      <c r="AC212" s="9"/>
      <c r="AD212" s="10"/>
      <c r="AE212" s="9"/>
      <c r="AF212" s="10"/>
      <c r="AG212" s="9"/>
      <c r="AH212" s="10"/>
      <c r="AI212" s="9"/>
      <c r="AJ212" s="10"/>
      <c r="AK212" s="9"/>
      <c r="AL212" s="10"/>
      <c r="AM212" s="9"/>
      <c r="AN212" s="10"/>
      <c r="AO212" s="9"/>
      <c r="AP212" s="10"/>
      <c r="AQ212" s="9"/>
      <c r="AR212" s="10"/>
      <c r="AS212" s="9"/>
      <c r="AT212" s="10"/>
      <c r="AU212" s="9"/>
      <c r="AV212" s="10"/>
      <c r="AW212" s="10"/>
      <c r="AX212" s="10"/>
      <c r="AY212" s="10"/>
      <c r="AZ212" s="10"/>
      <c r="BA212" s="10"/>
      <c r="BB212" s="10"/>
      <c r="BC212"/>
      <c r="BD212" s="10"/>
      <c r="BE212"/>
      <c r="BF212" s="10"/>
      <c r="BG212" s="10"/>
      <c r="BH212" s="10"/>
      <c r="BI212" s="10"/>
      <c r="BJ212" s="10"/>
      <c r="BK212" s="10"/>
      <c r="BL212" s="10"/>
      <c r="BM212" s="9"/>
      <c r="BN212" s="10"/>
      <c r="BO212" s="9"/>
      <c r="BP212" s="10"/>
      <c r="BQ212" s="9"/>
      <c r="BR212" s="10"/>
      <c r="BS212" s="9"/>
      <c r="BT212" s="10"/>
      <c r="BU212" s="9"/>
      <c r="BV212" s="10"/>
      <c r="BW212" s="9"/>
      <c r="BX212" s="10"/>
      <c r="BY212" s="9"/>
      <c r="BZ212"/>
      <c r="CA212"/>
      <c r="CB212"/>
      <c r="CC212"/>
      <c r="CD212"/>
      <c r="CE212"/>
      <c r="CF212"/>
      <c r="CG212"/>
      <c r="CH212"/>
      <c r="CI212"/>
      <c r="CJ212"/>
      <c r="CK212"/>
      <c r="CL212"/>
      <c r="CM212"/>
      <c r="CN212"/>
      <c r="CO212"/>
      <c r="CP212"/>
      <c r="CQ212"/>
      <c r="CR212"/>
      <c r="CS212"/>
      <c r="CT212"/>
      <c r="CU212"/>
      <c r="CV212"/>
      <c r="CW212"/>
      <c r="CX212"/>
      <c r="CY212"/>
      <c r="CZ212"/>
      <c r="DA212"/>
      <c r="DB212"/>
      <c r="DC212"/>
      <c r="DD212"/>
      <c r="DE212"/>
      <c r="DF212"/>
      <c r="DG212"/>
      <c r="DH212"/>
      <c r="DI212"/>
      <c r="DJ212"/>
      <c r="DK212"/>
      <c r="DL212"/>
      <c r="DM212"/>
      <c r="DN212"/>
      <c r="DO212"/>
      <c r="DP212"/>
      <c r="DQ212"/>
      <c r="DR212"/>
      <c r="DS212"/>
      <c r="DT212"/>
      <c r="DU212"/>
      <c r="DV212"/>
    </row>
    <row r="213" spans="1:126" s="105" customFormat="1">
      <c r="A213" s="63" t="s">
        <v>248</v>
      </c>
      <c r="B213" s="54"/>
      <c r="J213" s="155"/>
      <c r="L213" s="142"/>
      <c r="M213" s="13"/>
      <c r="N213" s="120"/>
      <c r="O213" s="13"/>
      <c r="P213" s="120"/>
      <c r="Q213" s="13"/>
      <c r="R213" s="120">
        <f t="shared" ref="R213:AH213" si="50">R211+R203+R194+R192+R190+R184+R159+R149+R142+R140+R138+R136+R134+R209</f>
        <v>17979878</v>
      </c>
      <c r="S213" s="120">
        <f t="shared" si="50"/>
        <v>0</v>
      </c>
      <c r="T213" s="120">
        <f t="shared" si="50"/>
        <v>0</v>
      </c>
      <c r="U213" s="120">
        <f t="shared" si="50"/>
        <v>0</v>
      </c>
      <c r="V213" s="120">
        <f t="shared" si="50"/>
        <v>0</v>
      </c>
      <c r="W213" s="120">
        <f t="shared" si="50"/>
        <v>0</v>
      </c>
      <c r="X213" s="120">
        <f t="shared" si="50"/>
        <v>0</v>
      </c>
      <c r="Y213" s="120">
        <f t="shared" si="50"/>
        <v>0</v>
      </c>
      <c r="Z213" s="120">
        <f t="shared" si="50"/>
        <v>0</v>
      </c>
      <c r="AA213" s="120">
        <f t="shared" si="50"/>
        <v>0</v>
      </c>
      <c r="AB213" s="120">
        <f t="shared" si="50"/>
        <v>0</v>
      </c>
      <c r="AC213" s="120">
        <f t="shared" si="50"/>
        <v>0</v>
      </c>
      <c r="AD213" s="120">
        <f t="shared" si="50"/>
        <v>0</v>
      </c>
      <c r="AE213" s="120">
        <f t="shared" si="50"/>
        <v>0</v>
      </c>
      <c r="AF213" s="120">
        <f t="shared" si="50"/>
        <v>0</v>
      </c>
      <c r="AG213" s="120">
        <f t="shared" si="50"/>
        <v>0</v>
      </c>
      <c r="AH213" s="120">
        <f t="shared" si="50"/>
        <v>0</v>
      </c>
      <c r="AI213" s="120"/>
      <c r="AJ213" s="120">
        <f>AJ211+AJ203+AJ194+AJ192+AJ190+AJ184+AJ159+AJ149+AJ142+AJ140+AJ138+AJ136+AJ134+AJ209</f>
        <v>13005.809999999998</v>
      </c>
      <c r="AK213" s="120"/>
      <c r="AL213" s="120">
        <f>AL211+AL203+AL194+AL192+AL190+AL184+AL159+AL149+AL142+AL140+AL138+AL136+AL134+AL209</f>
        <v>4956551.49</v>
      </c>
      <c r="AM213" s="120"/>
      <c r="AN213" s="120">
        <f>AN211+AN203+AN194+AN192+AN190+AN184+AN159+AN149+AN142+AN140+AN138+AN136+AN134+AN209</f>
        <v>715387.53999999992</v>
      </c>
      <c r="AO213" s="120"/>
      <c r="AP213" s="120">
        <f>AP211+AP203+AP194+AP192+AP190+AP184+AP159+AP149+AP142+AP140+AP138+AP136+AP134+AP209</f>
        <v>563736.27267638885</v>
      </c>
      <c r="AQ213" s="120"/>
      <c r="AR213" s="120">
        <f t="shared" ref="AR213:BX213" si="51">AR211+AR203+AR194+AR192+AR190+AR184+AR159+AR149+AR142+AR140+AR138+AR136+AR134+AR209</f>
        <v>949916.53322977468</v>
      </c>
      <c r="AS213" s="120">
        <f t="shared" si="51"/>
        <v>0</v>
      </c>
      <c r="AT213" s="120">
        <f t="shared" si="51"/>
        <v>1180818.6952736585</v>
      </c>
      <c r="AU213" s="120">
        <f t="shared" si="51"/>
        <v>0</v>
      </c>
      <c r="AV213" s="120">
        <f t="shared" si="51"/>
        <v>760946.3569411129</v>
      </c>
      <c r="AW213" s="120">
        <f t="shared" si="51"/>
        <v>0</v>
      </c>
      <c r="AX213" s="120">
        <f t="shared" si="51"/>
        <v>797859.40806343278</v>
      </c>
      <c r="AY213" s="120">
        <f t="shared" si="51"/>
        <v>0</v>
      </c>
      <c r="AZ213" s="120">
        <f t="shared" si="51"/>
        <v>1071160.7461543321</v>
      </c>
      <c r="BA213" s="120">
        <f t="shared" si="51"/>
        <v>0</v>
      </c>
      <c r="BB213" s="120">
        <f t="shared" si="51"/>
        <v>1141447.0200359318</v>
      </c>
      <c r="BC213"/>
      <c r="BD213" s="120">
        <f t="shared" si="51"/>
        <v>1590625.4300000002</v>
      </c>
      <c r="BE213"/>
      <c r="BF213" s="120">
        <f t="shared" si="51"/>
        <v>2623913.0512928553</v>
      </c>
      <c r="BG213" s="120">
        <f t="shared" si="51"/>
        <v>0</v>
      </c>
      <c r="BH213" s="120">
        <f t="shared" si="51"/>
        <v>869278.60000000009</v>
      </c>
      <c r="BI213" s="120">
        <f t="shared" si="51"/>
        <v>0</v>
      </c>
      <c r="BJ213" s="120">
        <f t="shared" si="51"/>
        <v>-86760.26999999999</v>
      </c>
      <c r="BK213" s="120">
        <f t="shared" si="51"/>
        <v>0</v>
      </c>
      <c r="BL213" s="120">
        <f t="shared" si="51"/>
        <v>292162</v>
      </c>
      <c r="BM213" s="120">
        <f>BM211+BM203+BM194+BM192+BM190+BM184+BM159+BM149+BM142+BM140+BM138+BM136+BM134+BM209</f>
        <v>0</v>
      </c>
      <c r="BN213" s="120">
        <f>BN211+BN203+BN194+BN192+BN190+BN184+BN159+BN149+BN142+BN140+BN138+BN136+BN134+BN209</f>
        <v>55270</v>
      </c>
      <c r="BO213" s="120">
        <f t="shared" si="51"/>
        <v>0</v>
      </c>
      <c r="BP213" s="120">
        <f t="shared" si="51"/>
        <v>17495318.683667485</v>
      </c>
      <c r="BQ213" s="120">
        <f t="shared" si="51"/>
        <v>0</v>
      </c>
      <c r="BR213" s="120">
        <f t="shared" si="51"/>
        <v>-33570</v>
      </c>
      <c r="BS213" s="120">
        <f t="shared" si="51"/>
        <v>0</v>
      </c>
      <c r="BT213" s="120">
        <f>BT211+BT203+BT194+BT192+BT190+BT184+BT159+BT149+BT142+BT140+BT138+BT136+BT134+BT209</f>
        <v>2567458.9500000002</v>
      </c>
      <c r="BU213" s="120">
        <f t="shared" si="51"/>
        <v>0</v>
      </c>
      <c r="BV213" s="120">
        <f t="shared" si="51"/>
        <v>20062777.633667484</v>
      </c>
      <c r="BW213" s="120">
        <f t="shared" si="51"/>
        <v>0</v>
      </c>
      <c r="BX213" s="120">
        <f t="shared" si="51"/>
        <v>-2082899.6336674853</v>
      </c>
      <c r="BY213" s="120">
        <f>BY211+BY203+BY194+BY192+BY190+BY184+BY159+BY149+BY142+BY140+BY138+BY136+BY134+BY209</f>
        <v>0</v>
      </c>
      <c r="BZ213"/>
      <c r="CA213"/>
      <c r="CB213"/>
      <c r="CC213"/>
      <c r="CD213"/>
      <c r="CE213"/>
      <c r="CF213"/>
      <c r="CG213"/>
      <c r="CH213"/>
      <c r="CI213"/>
      <c r="CJ213"/>
      <c r="CK213"/>
      <c r="CL213"/>
      <c r="CM213"/>
      <c r="CN213"/>
      <c r="CO213"/>
      <c r="CP213"/>
      <c r="CQ213"/>
      <c r="CR213"/>
      <c r="CS213"/>
      <c r="CT213"/>
      <c r="CU213"/>
      <c r="CV213"/>
      <c r="CW213"/>
      <c r="CX213"/>
      <c r="CY213"/>
      <c r="CZ213"/>
      <c r="DA213"/>
      <c r="DB213"/>
      <c r="DC213"/>
      <c r="DD213"/>
      <c r="DE213"/>
      <c r="DF213"/>
      <c r="DG213"/>
      <c r="DH213"/>
      <c r="DI213"/>
      <c r="DJ213"/>
      <c r="DK213"/>
      <c r="DL213"/>
      <c r="DM213"/>
      <c r="DN213"/>
      <c r="DO213"/>
      <c r="DP213"/>
      <c r="DQ213"/>
      <c r="DR213"/>
      <c r="DS213"/>
      <c r="DT213"/>
      <c r="DU213"/>
      <c r="DV213"/>
    </row>
    <row r="214" spans="1:126" s="21" customFormat="1">
      <c r="A214" s="58"/>
      <c r="B214" s="31"/>
      <c r="J214" s="8"/>
      <c r="L214" s="141"/>
      <c r="M214" s="9"/>
      <c r="N214" s="10"/>
      <c r="O214" s="9"/>
      <c r="P214" s="10"/>
      <c r="Q214" s="9"/>
      <c r="R214" s="10"/>
      <c r="S214" s="9"/>
      <c r="T214" s="10"/>
      <c r="U214" s="9"/>
      <c r="V214" s="10"/>
      <c r="W214" s="9"/>
      <c r="X214" s="10"/>
      <c r="Y214" s="9"/>
      <c r="Z214" s="10"/>
      <c r="AA214" s="9"/>
      <c r="AB214" s="10"/>
      <c r="AC214" s="9"/>
      <c r="AD214" s="10"/>
      <c r="AE214" s="9"/>
      <c r="AF214" s="10"/>
      <c r="AG214" s="9"/>
      <c r="AH214" s="10"/>
      <c r="AI214" s="9"/>
      <c r="AJ214" s="10"/>
      <c r="AK214" s="9"/>
      <c r="AL214" s="10"/>
      <c r="AM214" s="9"/>
      <c r="AN214" s="10"/>
      <c r="AO214" s="9"/>
      <c r="AP214" s="10"/>
      <c r="AQ214" s="9"/>
      <c r="AR214" s="10"/>
      <c r="AS214" s="9"/>
      <c r="AT214" s="10"/>
      <c r="AU214" s="9"/>
      <c r="AV214" s="10"/>
      <c r="AW214" s="10"/>
      <c r="AX214" s="10"/>
      <c r="AY214" s="10"/>
      <c r="AZ214" s="10"/>
      <c r="BA214" s="10"/>
      <c r="BB214" s="10"/>
      <c r="BC214"/>
      <c r="BD214" s="10"/>
      <c r="BE214"/>
      <c r="BF214" s="10"/>
      <c r="BG214" s="10"/>
      <c r="BH214" s="10"/>
      <c r="BI214" s="10"/>
      <c r="BJ214" s="10"/>
      <c r="BK214" s="10"/>
      <c r="BL214" s="10"/>
      <c r="BM214" s="9"/>
      <c r="BN214" s="10"/>
      <c r="BO214" s="9"/>
      <c r="BP214" s="10"/>
      <c r="BQ214" s="9"/>
      <c r="BR214" s="10"/>
      <c r="BS214" s="9"/>
      <c r="BT214" s="10"/>
      <c r="BU214" s="9"/>
      <c r="BV214" s="10"/>
      <c r="BW214" s="9"/>
      <c r="BX214" s="10"/>
      <c r="BY214" s="9"/>
      <c r="BZ214"/>
      <c r="CA214"/>
      <c r="CB214"/>
      <c r="CC214"/>
      <c r="CD214"/>
      <c r="CE214"/>
      <c r="CF214"/>
      <c r="CG214"/>
      <c r="CH214"/>
      <c r="CI214"/>
      <c r="CJ214"/>
      <c r="CK214"/>
      <c r="CL214"/>
      <c r="CM214"/>
      <c r="CN214"/>
      <c r="CO214"/>
      <c r="CP214"/>
      <c r="CQ214"/>
      <c r="CR214"/>
      <c r="CS214"/>
      <c r="CT214"/>
      <c r="CU214"/>
      <c r="CV214"/>
      <c r="CW214"/>
      <c r="CX214"/>
      <c r="CY214"/>
      <c r="CZ214"/>
      <c r="DA214"/>
      <c r="DB214"/>
      <c r="DC214"/>
      <c r="DD214"/>
      <c r="DE214"/>
      <c r="DF214"/>
      <c r="DG214"/>
      <c r="DH214"/>
      <c r="DI214"/>
      <c r="DJ214"/>
      <c r="DK214"/>
      <c r="DL214"/>
      <c r="DM214"/>
      <c r="DN214"/>
      <c r="DO214"/>
      <c r="DP214"/>
      <c r="DQ214"/>
      <c r="DR214"/>
      <c r="DS214"/>
      <c r="DT214"/>
      <c r="DU214"/>
      <c r="DV214"/>
    </row>
    <row r="215" spans="1:126" s="21" customFormat="1">
      <c r="A215" s="58" t="s">
        <v>190</v>
      </c>
      <c r="B215" s="31"/>
      <c r="J215" s="8"/>
      <c r="L215" s="141" t="s">
        <v>202</v>
      </c>
      <c r="M215" s="9"/>
      <c r="N215" s="9">
        <v>5395729</v>
      </c>
      <c r="O215" s="9"/>
      <c r="P215" s="9">
        <f>5463580+-N215</f>
        <v>67851</v>
      </c>
      <c r="Q215" s="9"/>
      <c r="R215" s="9">
        <f>173229453-167805955</f>
        <v>5423498</v>
      </c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9"/>
      <c r="AH215" s="9"/>
      <c r="AI215" s="9"/>
      <c r="AJ215" s="9"/>
      <c r="AK215" s="9"/>
      <c r="AL215" s="9"/>
      <c r="AM215" s="9"/>
      <c r="AN215" s="9"/>
      <c r="AO215" s="9"/>
      <c r="AP215" s="9"/>
      <c r="AQ215" s="9"/>
      <c r="AR215" s="9"/>
      <c r="AS215" s="9"/>
      <c r="AT215" s="9"/>
      <c r="AU215" s="9"/>
      <c r="AV215" s="9"/>
      <c r="AW215" s="9"/>
      <c r="AX215" s="9"/>
      <c r="AY215" s="9"/>
      <c r="AZ215" s="9"/>
      <c r="BA215" s="9"/>
      <c r="BB215" s="9"/>
      <c r="BC215"/>
      <c r="BD215" s="9"/>
      <c r="BE215"/>
      <c r="BF215" s="9"/>
      <c r="BG215" s="9"/>
      <c r="BH215" s="9"/>
      <c r="BI215" s="9"/>
      <c r="BJ215" s="9"/>
      <c r="BK215" s="9"/>
      <c r="BL215" s="9"/>
      <c r="BM215" s="9"/>
      <c r="BN215" s="9"/>
      <c r="BO215" s="9"/>
      <c r="BP215" s="10">
        <f>SUM(T215:BO215)</f>
        <v>0</v>
      </c>
      <c r="BQ215" s="9"/>
      <c r="BR215" s="9">
        <v>-5423498</v>
      </c>
      <c r="BS215" s="9">
        <v>2030320</v>
      </c>
      <c r="BT215" s="6">
        <f>IF(+R215-BP215+BR215&gt;0,R215-BP215+BR215,0)</f>
        <v>0</v>
      </c>
      <c r="BU215" s="9">
        <v>2030320</v>
      </c>
      <c r="BV215" s="9">
        <f>+BP215+BT215</f>
        <v>0</v>
      </c>
      <c r="BW215" s="9">
        <v>2030320</v>
      </c>
      <c r="BX215" s="6">
        <f>+R215-BV215</f>
        <v>5423498</v>
      </c>
      <c r="BY215" s="9"/>
      <c r="BZ215"/>
      <c r="CA215"/>
      <c r="CB215"/>
      <c r="CC215"/>
      <c r="CD215"/>
      <c r="CE215"/>
      <c r="CF215"/>
      <c r="CG215"/>
      <c r="CH215"/>
      <c r="CI215"/>
      <c r="CJ215"/>
      <c r="CK215"/>
      <c r="CL215"/>
      <c r="CM215"/>
      <c r="CN215"/>
      <c r="CO215"/>
      <c r="CP215"/>
      <c r="CQ215"/>
      <c r="CR215"/>
      <c r="CS215"/>
      <c r="CT215"/>
      <c r="CU215"/>
      <c r="CV215"/>
      <c r="CW215"/>
      <c r="CX215"/>
      <c r="CY215"/>
      <c r="CZ215"/>
      <c r="DA215"/>
      <c r="DB215"/>
      <c r="DC215"/>
      <c r="DD215"/>
      <c r="DE215"/>
      <c r="DF215"/>
      <c r="DG215"/>
      <c r="DH215"/>
      <c r="DI215"/>
      <c r="DJ215"/>
      <c r="DK215"/>
      <c r="DL215"/>
      <c r="DM215"/>
      <c r="DN215"/>
      <c r="DO215"/>
      <c r="DP215"/>
      <c r="DQ215"/>
      <c r="DR215"/>
      <c r="DS215"/>
      <c r="DT215"/>
      <c r="DU215"/>
      <c r="DV215"/>
    </row>
    <row r="216" spans="1:126" s="21" customFormat="1">
      <c r="A216" s="58"/>
      <c r="B216" s="31"/>
      <c r="J216" s="8"/>
      <c r="L216" s="141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  <c r="AH216" s="9"/>
      <c r="AI216" s="9"/>
      <c r="AJ216" s="9"/>
      <c r="AK216" s="9"/>
      <c r="AL216" s="9"/>
      <c r="AM216" s="9"/>
      <c r="AN216" s="9"/>
      <c r="AO216" s="9"/>
      <c r="AP216" s="9"/>
      <c r="AQ216" s="9"/>
      <c r="AR216" s="9"/>
      <c r="AS216" s="9"/>
      <c r="AT216" s="9"/>
      <c r="AU216" s="9"/>
      <c r="AV216" s="9"/>
      <c r="AW216" s="9"/>
      <c r="AX216" s="9"/>
      <c r="AY216" s="9"/>
      <c r="AZ216" s="9"/>
      <c r="BA216" s="9"/>
      <c r="BB216" s="9"/>
      <c r="BC216"/>
      <c r="BD216" s="9"/>
      <c r="BE216"/>
      <c r="BF216" s="9"/>
      <c r="BG216" s="9"/>
      <c r="BH216" s="9"/>
      <c r="BI216" s="9"/>
      <c r="BJ216" s="9"/>
      <c r="BK216" s="9"/>
      <c r="BL216" s="9"/>
      <c r="BM216" s="9"/>
      <c r="BN216" s="9"/>
      <c r="BO216" s="9"/>
      <c r="BP216" s="10"/>
      <c r="BQ216" s="9"/>
      <c r="BR216" s="9"/>
      <c r="BS216" s="9"/>
      <c r="BT216" s="6"/>
      <c r="BU216" s="9"/>
      <c r="BV216" s="9"/>
      <c r="BW216" s="9"/>
      <c r="BX216" s="6"/>
      <c r="BY216" s="9"/>
      <c r="BZ216"/>
      <c r="CA216"/>
      <c r="CB216"/>
      <c r="CC216"/>
      <c r="CD216"/>
      <c r="CE216"/>
      <c r="CF216"/>
      <c r="CG216"/>
      <c r="CH216"/>
      <c r="CI216"/>
      <c r="CJ216"/>
      <c r="CK216"/>
      <c r="CL216"/>
      <c r="CM216"/>
      <c r="CN216"/>
      <c r="CO216"/>
      <c r="CP216"/>
      <c r="CQ216"/>
      <c r="CR216"/>
      <c r="CS216"/>
      <c r="CT216"/>
      <c r="CU216"/>
      <c r="CV216"/>
      <c r="CW216"/>
      <c r="CX216"/>
      <c r="CY216"/>
      <c r="CZ216"/>
      <c r="DA216"/>
      <c r="DB216"/>
      <c r="DC216"/>
      <c r="DD216"/>
      <c r="DE216"/>
      <c r="DF216"/>
      <c r="DG216"/>
      <c r="DH216"/>
      <c r="DI216"/>
      <c r="DJ216"/>
      <c r="DK216"/>
      <c r="DL216"/>
      <c r="DM216"/>
      <c r="DN216"/>
      <c r="DO216"/>
      <c r="DP216"/>
      <c r="DQ216"/>
      <c r="DR216"/>
      <c r="DS216"/>
      <c r="DT216"/>
      <c r="DU216"/>
      <c r="DV216"/>
    </row>
    <row r="217" spans="1:126" s="21" customFormat="1" hidden="1">
      <c r="A217" s="58" t="s">
        <v>287</v>
      </c>
      <c r="B217" s="31"/>
      <c r="J217" s="8"/>
      <c r="L217" s="141"/>
      <c r="M217" s="9"/>
      <c r="N217" s="10"/>
      <c r="O217" s="9"/>
      <c r="P217" s="10"/>
      <c r="Q217" s="9"/>
      <c r="R217" s="10">
        <v>-6077</v>
      </c>
      <c r="S217" s="9"/>
      <c r="T217" s="10"/>
      <c r="U217" s="9"/>
      <c r="V217" s="10"/>
      <c r="W217" s="9"/>
      <c r="X217" s="10"/>
      <c r="Y217" s="9"/>
      <c r="Z217" s="10"/>
      <c r="AA217" s="9"/>
      <c r="AB217" s="10"/>
      <c r="AC217" s="9"/>
      <c r="AD217" s="10"/>
      <c r="AE217" s="9"/>
      <c r="AF217" s="10"/>
      <c r="AG217" s="9"/>
      <c r="AH217" s="10"/>
      <c r="AI217" s="9"/>
      <c r="AJ217" s="10"/>
      <c r="AK217" s="9"/>
      <c r="AL217" s="10"/>
      <c r="AM217" s="9"/>
      <c r="AN217" s="10"/>
      <c r="AO217" s="9"/>
      <c r="AP217" s="10"/>
      <c r="AQ217" s="9"/>
      <c r="AR217" s="10"/>
      <c r="AS217" s="9"/>
      <c r="AT217" s="10"/>
      <c r="AU217" s="9"/>
      <c r="AV217" s="10"/>
      <c r="AW217" s="10"/>
      <c r="AX217" s="10"/>
      <c r="AY217" s="10"/>
      <c r="AZ217" s="10"/>
      <c r="BA217" s="10"/>
      <c r="BB217" s="10"/>
      <c r="BC217"/>
      <c r="BD217" s="10"/>
      <c r="BE217"/>
      <c r="BF217" s="10"/>
      <c r="BG217" s="10"/>
      <c r="BH217" s="10"/>
      <c r="BI217" s="10"/>
      <c r="BJ217" s="10"/>
      <c r="BK217" s="10"/>
      <c r="BL217" s="10"/>
      <c r="BM217" s="9"/>
      <c r="BN217" s="10"/>
      <c r="BO217" s="9"/>
      <c r="BP217" s="10">
        <f>SUM(T217:BO217)</f>
        <v>0</v>
      </c>
      <c r="BQ217" s="9"/>
      <c r="BR217" s="10"/>
      <c r="BS217" s="9"/>
      <c r="BT217" s="10"/>
      <c r="BU217" s="9"/>
      <c r="BV217" s="9">
        <f>+BP217+BT217</f>
        <v>0</v>
      </c>
      <c r="BW217" s="9"/>
      <c r="BX217" s="6">
        <f>+R217-BV217</f>
        <v>-6077</v>
      </c>
      <c r="BY217" s="9"/>
      <c r="BZ217"/>
      <c r="CA217"/>
      <c r="CB217"/>
      <c r="CC217"/>
      <c r="CD217"/>
      <c r="CE217"/>
      <c r="CF217"/>
      <c r="CG217"/>
      <c r="CH217"/>
      <c r="CI217"/>
      <c r="CJ217"/>
      <c r="CK217"/>
      <c r="CL217"/>
      <c r="CM217"/>
      <c r="CN217"/>
      <c r="CO217"/>
      <c r="CP217"/>
      <c r="CQ217"/>
      <c r="CR217"/>
      <c r="CS217"/>
      <c r="CT217"/>
      <c r="CU217"/>
      <c r="CV217"/>
      <c r="CW217"/>
      <c r="CX217"/>
      <c r="CY217"/>
      <c r="CZ217"/>
      <c r="DA217"/>
      <c r="DB217"/>
      <c r="DC217"/>
      <c r="DD217"/>
      <c r="DE217"/>
      <c r="DF217"/>
      <c r="DG217"/>
      <c r="DH217"/>
      <c r="DI217"/>
      <c r="DJ217"/>
      <c r="DK217"/>
      <c r="DL217"/>
      <c r="DM217"/>
      <c r="DN217"/>
      <c r="DO217"/>
      <c r="DP217"/>
      <c r="DQ217"/>
      <c r="DR217"/>
      <c r="DS217"/>
      <c r="DT217"/>
      <c r="DU217"/>
      <c r="DV217"/>
    </row>
    <row r="218" spans="1:126" s="21" customFormat="1" hidden="1">
      <c r="A218" s="58"/>
      <c r="B218" s="31"/>
      <c r="J218" s="8"/>
      <c r="L218" s="141"/>
      <c r="M218" s="9"/>
      <c r="N218" s="10"/>
      <c r="O218" s="9"/>
      <c r="P218" s="10"/>
      <c r="Q218" s="9"/>
      <c r="R218" s="10"/>
      <c r="S218" s="9"/>
      <c r="T218" s="10"/>
      <c r="U218" s="9"/>
      <c r="V218" s="10"/>
      <c r="W218" s="9"/>
      <c r="X218" s="10"/>
      <c r="Y218" s="9"/>
      <c r="Z218" s="10"/>
      <c r="AA218" s="9"/>
      <c r="AB218" s="10"/>
      <c r="AC218" s="9"/>
      <c r="AD218" s="10"/>
      <c r="AE218" s="9"/>
      <c r="AF218" s="10"/>
      <c r="AG218" s="9"/>
      <c r="AH218" s="10"/>
      <c r="AI218" s="9"/>
      <c r="AJ218" s="10"/>
      <c r="AK218" s="9"/>
      <c r="AL218" s="10"/>
      <c r="AM218" s="9"/>
      <c r="AN218" s="10"/>
      <c r="AO218" s="9"/>
      <c r="AP218" s="10"/>
      <c r="AQ218" s="9"/>
      <c r="AR218" s="10"/>
      <c r="AS218" s="9"/>
      <c r="AT218" s="10"/>
      <c r="AU218" s="9"/>
      <c r="AV218" s="10"/>
      <c r="AW218" s="10"/>
      <c r="AX218" s="10"/>
      <c r="AY218" s="10"/>
      <c r="AZ218" s="10"/>
      <c r="BA218" s="10"/>
      <c r="BB218" s="10"/>
      <c r="BC218"/>
      <c r="BD218" s="10"/>
      <c r="BE218"/>
      <c r="BF218" s="10"/>
      <c r="BG218" s="10"/>
      <c r="BH218" s="10"/>
      <c r="BI218" s="10"/>
      <c r="BJ218" s="10"/>
      <c r="BK218" s="10"/>
      <c r="BL218" s="10"/>
      <c r="BM218" s="9"/>
      <c r="BN218" s="10"/>
      <c r="BO218" s="9"/>
      <c r="BP218" s="10"/>
      <c r="BQ218" s="9"/>
      <c r="BR218" s="10"/>
      <c r="BS218" s="9"/>
      <c r="BT218" s="10"/>
      <c r="BU218" s="9"/>
      <c r="BV218" s="10"/>
      <c r="BW218" s="9"/>
      <c r="BX218" s="10"/>
      <c r="BY218" s="9"/>
      <c r="BZ218"/>
      <c r="CA218"/>
      <c r="CB218"/>
      <c r="CC218"/>
      <c r="CD218"/>
      <c r="CE218"/>
      <c r="CF218"/>
      <c r="CG218"/>
      <c r="CH218"/>
      <c r="CI218"/>
      <c r="CJ218"/>
      <c r="CK218"/>
      <c r="CL218"/>
      <c r="CM218"/>
      <c r="CN218"/>
      <c r="CO218"/>
      <c r="CP218"/>
      <c r="CQ218"/>
      <c r="CR218"/>
      <c r="CS218"/>
      <c r="CT218"/>
      <c r="CU218"/>
      <c r="CV218"/>
      <c r="CW218"/>
      <c r="CX218"/>
      <c r="CY218"/>
      <c r="CZ218"/>
      <c r="DA218"/>
      <c r="DB218"/>
      <c r="DC218"/>
      <c r="DD218"/>
      <c r="DE218"/>
      <c r="DF218"/>
      <c r="DG218"/>
      <c r="DH218"/>
      <c r="DI218"/>
      <c r="DJ218"/>
      <c r="DK218"/>
      <c r="DL218"/>
      <c r="DM218"/>
      <c r="DN218"/>
      <c r="DO218"/>
      <c r="DP218"/>
      <c r="DQ218"/>
      <c r="DR218"/>
      <c r="DS218"/>
      <c r="DT218"/>
      <c r="DU218"/>
      <c r="DV218"/>
    </row>
    <row r="219" spans="1:126" s="166" customFormat="1">
      <c r="A219" s="165" t="s">
        <v>253</v>
      </c>
      <c r="J219" s="167"/>
      <c r="L219" s="168"/>
      <c r="M219" s="169"/>
      <c r="N219" s="169"/>
      <c r="O219" s="169"/>
      <c r="P219" s="169"/>
      <c r="Q219" s="169"/>
      <c r="R219" s="164">
        <f t="shared" ref="R219:AH219" si="52">R37+R107+R97+R182+R112+R213+R215+R217</f>
        <v>170575010</v>
      </c>
      <c r="S219" s="164">
        <f t="shared" si="52"/>
        <v>0</v>
      </c>
      <c r="T219" s="164">
        <f t="shared" si="52"/>
        <v>0</v>
      </c>
      <c r="U219" s="164">
        <f t="shared" si="52"/>
        <v>0</v>
      </c>
      <c r="V219" s="164">
        <f t="shared" si="52"/>
        <v>0</v>
      </c>
      <c r="W219" s="164">
        <f t="shared" si="52"/>
        <v>0</v>
      </c>
      <c r="X219" s="164">
        <f t="shared" si="52"/>
        <v>0</v>
      </c>
      <c r="Y219" s="164">
        <f t="shared" si="52"/>
        <v>0</v>
      </c>
      <c r="Z219" s="164">
        <f t="shared" si="52"/>
        <v>0</v>
      </c>
      <c r="AA219" s="164">
        <f t="shared" si="52"/>
        <v>0</v>
      </c>
      <c r="AB219" s="164">
        <f t="shared" si="52"/>
        <v>0</v>
      </c>
      <c r="AC219" s="164">
        <f t="shared" si="52"/>
        <v>0</v>
      </c>
      <c r="AD219" s="164">
        <f t="shared" si="52"/>
        <v>0</v>
      </c>
      <c r="AE219" s="164">
        <f t="shared" si="52"/>
        <v>0</v>
      </c>
      <c r="AF219" s="164">
        <f t="shared" si="52"/>
        <v>0</v>
      </c>
      <c r="AG219" s="164">
        <f t="shared" si="52"/>
        <v>0</v>
      </c>
      <c r="AH219" s="164">
        <f t="shared" si="52"/>
        <v>0</v>
      </c>
      <c r="AI219" s="164"/>
      <c r="AJ219" s="164">
        <f>AJ37+AJ107+AJ97+AJ182+AJ112+AJ213+AJ215+AJ217</f>
        <v>13005.809999999998</v>
      </c>
      <c r="AK219" s="164"/>
      <c r="AL219" s="164">
        <f>AL37+AL107+AL97+AL182+AL112+AL213+AL215+AL217</f>
        <v>93158714.489999995</v>
      </c>
      <c r="AM219" s="164"/>
      <c r="AN219" s="164">
        <f>AN37+AN107+AN97+AN182+AN112+AN213+AN215+AN217</f>
        <v>715387.53999999992</v>
      </c>
      <c r="AO219" s="164"/>
      <c r="AP219" s="164">
        <f>AP37+AP107+AP97+AP182+AP112+AP213+AP215+AP217</f>
        <v>2178269.8126763888</v>
      </c>
      <c r="AQ219" s="164"/>
      <c r="AR219" s="164">
        <f t="shared" ref="AR219:BB219" si="53">AR37+AR107+AR97+AR182+AR112+AR213+AR215+AR217</f>
        <v>7520808.7532297745</v>
      </c>
      <c r="AS219" s="164">
        <f t="shared" si="53"/>
        <v>0</v>
      </c>
      <c r="AT219" s="164">
        <f t="shared" si="53"/>
        <v>3026267.3252736586</v>
      </c>
      <c r="AU219" s="164">
        <f t="shared" si="53"/>
        <v>0</v>
      </c>
      <c r="AV219" s="164">
        <f t="shared" si="53"/>
        <v>8287387.2469411138</v>
      </c>
      <c r="AW219" s="164">
        <f t="shared" si="53"/>
        <v>0</v>
      </c>
      <c r="AX219" s="164">
        <f t="shared" si="53"/>
        <v>7624290.748063433</v>
      </c>
      <c r="AY219" s="164">
        <f t="shared" si="53"/>
        <v>0</v>
      </c>
      <c r="AZ219" s="164">
        <f t="shared" si="53"/>
        <v>11403531.526154332</v>
      </c>
      <c r="BA219" s="164">
        <f t="shared" si="53"/>
        <v>0</v>
      </c>
      <c r="BB219" s="164">
        <f t="shared" si="53"/>
        <v>12239663.540035931</v>
      </c>
      <c r="BC219"/>
      <c r="BD219" s="164">
        <f>BD37+BD107+BD97+BD182+BD112+BD213+BD215+BD217</f>
        <v>4338594.6500000004</v>
      </c>
      <c r="BE219"/>
      <c r="BF219" s="164">
        <f t="shared" ref="BF219:BX219" si="54">BF37+BF107+BF97+BF182+BF112+BF213+BF215+BF217</f>
        <v>17362054.581292856</v>
      </c>
      <c r="BG219" s="164">
        <f t="shared" si="54"/>
        <v>0</v>
      </c>
      <c r="BH219" s="164">
        <f t="shared" si="54"/>
        <v>2172208.6</v>
      </c>
      <c r="BI219" s="164">
        <f t="shared" si="54"/>
        <v>0</v>
      </c>
      <c r="BJ219" s="164">
        <f t="shared" si="54"/>
        <v>-86760.26999999999</v>
      </c>
      <c r="BK219" s="164">
        <f t="shared" si="54"/>
        <v>0</v>
      </c>
      <c r="BL219" s="164">
        <f t="shared" si="54"/>
        <v>805728</v>
      </c>
      <c r="BM219" s="164">
        <f>BM37+BM107+BM97+BM182+BM112+BM213+BM215+BM217</f>
        <v>0</v>
      </c>
      <c r="BN219" s="164">
        <f>BN37+BN107+BN97+BN182+BN112+BN213+BN215+BN217</f>
        <v>-272570</v>
      </c>
      <c r="BO219" s="164">
        <f t="shared" si="54"/>
        <v>0</v>
      </c>
      <c r="BP219" s="164">
        <f t="shared" si="54"/>
        <v>170486582.3536675</v>
      </c>
      <c r="BQ219" s="164">
        <f t="shared" si="54"/>
        <v>0</v>
      </c>
      <c r="BR219" s="164">
        <f t="shared" si="54"/>
        <v>2743085</v>
      </c>
      <c r="BS219" s="164">
        <f t="shared" si="54"/>
        <v>2030320</v>
      </c>
      <c r="BT219" s="164">
        <f t="shared" si="54"/>
        <v>6949683.8299999982</v>
      </c>
      <c r="BU219" s="164">
        <f t="shared" si="54"/>
        <v>2030320</v>
      </c>
      <c r="BV219" s="164">
        <f t="shared" si="54"/>
        <v>177436266.18366748</v>
      </c>
      <c r="BW219" s="164">
        <f t="shared" si="54"/>
        <v>2030320</v>
      </c>
      <c r="BX219" s="164">
        <f t="shared" si="54"/>
        <v>-6861256.1836674828</v>
      </c>
      <c r="BY219" s="169"/>
      <c r="BZ219"/>
      <c r="CA219"/>
      <c r="CB219"/>
      <c r="CC219"/>
      <c r="CD219"/>
      <c r="CE219"/>
      <c r="CF219"/>
      <c r="CG219"/>
      <c r="CH219"/>
      <c r="CI219"/>
      <c r="CJ219"/>
      <c r="CK219"/>
      <c r="CL219"/>
      <c r="CM219"/>
      <c r="CN219"/>
      <c r="CO219"/>
      <c r="CP219"/>
      <c r="CQ219"/>
      <c r="CR219"/>
      <c r="CS219"/>
      <c r="CT219"/>
      <c r="CU219"/>
      <c r="CV219"/>
      <c r="CW219"/>
      <c r="CX219"/>
      <c r="CY219"/>
      <c r="CZ219"/>
      <c r="DA219"/>
      <c r="DB219"/>
      <c r="DC219"/>
      <c r="DD219"/>
      <c r="DE219"/>
      <c r="DF219"/>
      <c r="DG219"/>
      <c r="DH219"/>
      <c r="DI219"/>
      <c r="DJ219"/>
      <c r="DK219"/>
      <c r="DL219"/>
      <c r="DM219"/>
      <c r="DN219"/>
      <c r="DO219"/>
      <c r="DP219"/>
      <c r="DQ219"/>
      <c r="DR219"/>
      <c r="DS219"/>
      <c r="DT219"/>
      <c r="DU219"/>
      <c r="DV219"/>
    </row>
    <row r="220" spans="1:126" s="21" customFormat="1">
      <c r="A220" s="58" t="s">
        <v>251</v>
      </c>
      <c r="B220" s="31"/>
      <c r="J220" s="8"/>
      <c r="L220" s="141"/>
      <c r="M220" s="9"/>
      <c r="N220" s="10"/>
      <c r="O220" s="9"/>
      <c r="P220" s="10"/>
      <c r="Q220" s="9"/>
      <c r="R220" s="10"/>
      <c r="S220" s="9"/>
      <c r="T220" s="10"/>
      <c r="U220" s="9"/>
      <c r="V220" s="10"/>
      <c r="W220" s="9"/>
      <c r="X220" s="10"/>
      <c r="Y220" s="9"/>
      <c r="Z220" s="10"/>
      <c r="AA220" s="9"/>
      <c r="AB220" s="10"/>
      <c r="AC220" s="9"/>
      <c r="AD220" s="10"/>
      <c r="AE220" s="9"/>
      <c r="AF220" s="10"/>
      <c r="AG220" s="9"/>
      <c r="AH220" s="10"/>
      <c r="AI220" s="9"/>
      <c r="AJ220" s="10"/>
      <c r="AK220" s="9"/>
      <c r="AL220" s="10"/>
      <c r="AM220" s="9"/>
      <c r="AN220" s="10"/>
      <c r="AO220" s="9"/>
      <c r="AP220" s="10"/>
      <c r="AQ220" s="9"/>
      <c r="AR220" s="10"/>
      <c r="AS220" s="9"/>
      <c r="AT220" s="10"/>
      <c r="AU220" s="9"/>
      <c r="AV220" s="10"/>
      <c r="AW220" s="10"/>
      <c r="AX220" s="10"/>
      <c r="AY220" s="10"/>
      <c r="AZ220" s="10"/>
      <c r="BA220" s="10"/>
      <c r="BB220" s="10"/>
      <c r="BC220"/>
      <c r="BD220" s="10"/>
      <c r="BE220"/>
      <c r="BF220" s="10"/>
      <c r="BG220" s="10"/>
      <c r="BH220" s="10"/>
      <c r="BI220" s="10"/>
      <c r="BJ220" s="10"/>
      <c r="BK220" s="10"/>
      <c r="BL220" s="10"/>
      <c r="BM220" s="9"/>
      <c r="BN220" s="10"/>
      <c r="BO220" s="9"/>
      <c r="BP220" s="10"/>
      <c r="BQ220" s="9"/>
      <c r="BR220" s="10"/>
      <c r="BS220" s="9"/>
      <c r="BT220" s="272"/>
      <c r="BU220" s="9"/>
      <c r="BV220" s="10"/>
      <c r="BW220" s="9"/>
      <c r="BX220" s="10"/>
      <c r="BY220" s="9"/>
      <c r="BZ220"/>
      <c r="CA220"/>
      <c r="CB220"/>
      <c r="CC220"/>
      <c r="CD220"/>
      <c r="CE220"/>
      <c r="CF220"/>
      <c r="CG220"/>
      <c r="CH220"/>
      <c r="CI220"/>
      <c r="CJ220"/>
      <c r="CK220"/>
      <c r="CL220"/>
      <c r="CM220"/>
      <c r="CN220"/>
      <c r="CO220"/>
      <c r="CP220"/>
      <c r="CQ220"/>
      <c r="CR220"/>
      <c r="CS220"/>
      <c r="CT220"/>
      <c r="CU220"/>
      <c r="CV220"/>
      <c r="CW220"/>
      <c r="CX220"/>
      <c r="CY220"/>
      <c r="CZ220"/>
      <c r="DA220"/>
      <c r="DB220"/>
      <c r="DC220"/>
      <c r="DD220"/>
      <c r="DE220"/>
      <c r="DF220"/>
      <c r="DG220"/>
      <c r="DH220"/>
      <c r="DI220"/>
      <c r="DJ220"/>
      <c r="DK220"/>
      <c r="DL220"/>
      <c r="DM220"/>
      <c r="DN220"/>
      <c r="DO220"/>
      <c r="DP220"/>
      <c r="DQ220"/>
      <c r="DR220"/>
      <c r="DS220"/>
      <c r="DT220"/>
      <c r="DU220"/>
      <c r="DV220"/>
    </row>
    <row r="221" spans="1:126" s="21" customFormat="1">
      <c r="A221" s="58"/>
      <c r="B221" s="31"/>
      <c r="J221" s="8"/>
      <c r="L221" s="141"/>
      <c r="M221" s="9"/>
      <c r="N221" s="10"/>
      <c r="O221" s="9"/>
      <c r="P221" s="10"/>
      <c r="Q221" s="9"/>
      <c r="R221" s="10"/>
      <c r="S221" s="9"/>
      <c r="T221" s="10"/>
      <c r="U221" s="9"/>
      <c r="V221" s="10"/>
      <c r="W221" s="9"/>
      <c r="X221" s="10"/>
      <c r="Y221" s="9"/>
      <c r="Z221" s="10"/>
      <c r="AA221" s="9"/>
      <c r="AB221" s="10"/>
      <c r="AC221" s="9"/>
      <c r="AD221" s="10"/>
      <c r="AE221" s="9"/>
      <c r="AF221" s="10"/>
      <c r="AG221" s="9"/>
      <c r="AH221" s="10"/>
      <c r="AI221" s="9"/>
      <c r="AJ221" s="10"/>
      <c r="AK221" s="9"/>
      <c r="AL221" s="10"/>
      <c r="AM221" s="9"/>
      <c r="AN221" s="10"/>
      <c r="AO221" s="9"/>
      <c r="AP221" s="10"/>
      <c r="AQ221" s="9"/>
      <c r="AR221" s="10"/>
      <c r="AS221" s="9"/>
      <c r="AT221" s="10"/>
      <c r="AU221" s="9"/>
      <c r="AV221" s="10"/>
      <c r="AW221" s="10"/>
      <c r="AX221" s="10"/>
      <c r="AY221" s="10"/>
      <c r="AZ221" s="10"/>
      <c r="BA221" s="10"/>
      <c r="BB221" s="10"/>
      <c r="BC221"/>
      <c r="BD221" s="10"/>
      <c r="BE221"/>
      <c r="BF221" s="10"/>
      <c r="BG221" s="10"/>
      <c r="BH221" s="10"/>
      <c r="BI221" s="10"/>
      <c r="BJ221" s="10"/>
      <c r="BK221" s="10"/>
      <c r="BL221" s="10"/>
      <c r="BM221" s="9"/>
      <c r="BN221" s="10"/>
      <c r="BO221" s="9"/>
      <c r="BP221" s="10"/>
      <c r="BQ221" s="9"/>
      <c r="BR221" s="10"/>
      <c r="BS221" s="9"/>
      <c r="BT221" s="10"/>
      <c r="BU221" s="9"/>
      <c r="BV221" s="10"/>
      <c r="BW221" s="9"/>
      <c r="BX221" s="10"/>
      <c r="BY221" s="9"/>
      <c r="BZ221"/>
      <c r="CA221"/>
      <c r="CB221"/>
      <c r="CC221"/>
      <c r="CD221"/>
      <c r="CE221"/>
      <c r="CF221"/>
      <c r="CG221"/>
      <c r="CH221"/>
      <c r="CI221"/>
      <c r="CJ221"/>
      <c r="CK221"/>
      <c r="CL221"/>
      <c r="CM221"/>
      <c r="CN221"/>
      <c r="CO221"/>
      <c r="CP221"/>
      <c r="CQ221"/>
      <c r="CR221"/>
      <c r="CS221"/>
      <c r="CT221"/>
      <c r="CU221"/>
      <c r="CV221"/>
      <c r="CW221"/>
      <c r="CX221"/>
      <c r="CY221"/>
      <c r="CZ221"/>
      <c r="DA221"/>
      <c r="DB221"/>
      <c r="DC221"/>
      <c r="DD221"/>
      <c r="DE221"/>
      <c r="DF221"/>
      <c r="DG221"/>
      <c r="DH221"/>
      <c r="DI221"/>
      <c r="DJ221"/>
      <c r="DK221"/>
      <c r="DL221"/>
      <c r="DM221"/>
      <c r="DN221"/>
      <c r="DO221"/>
      <c r="DP221"/>
      <c r="DQ221"/>
      <c r="DR221"/>
      <c r="DS221"/>
      <c r="DT221"/>
      <c r="DU221"/>
      <c r="DV221"/>
    </row>
    <row r="222" spans="1:126" s="21" customFormat="1" hidden="1">
      <c r="A222" s="58"/>
      <c r="B222" s="31"/>
      <c r="J222" s="8"/>
      <c r="L222" s="141"/>
      <c r="M222" s="9"/>
      <c r="N222" s="10"/>
      <c r="O222" s="9"/>
      <c r="P222" s="10"/>
      <c r="Q222" s="9"/>
      <c r="R222" s="10"/>
      <c r="S222" s="9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  <c r="AJ222" s="10"/>
      <c r="AK222" s="10"/>
      <c r="AL222" s="10"/>
      <c r="AM222" s="10"/>
      <c r="AN222" s="10"/>
      <c r="AO222" s="10"/>
      <c r="AP222" s="10"/>
      <c r="AQ222" s="10"/>
      <c r="AR222" s="10"/>
      <c r="AS222" s="10"/>
      <c r="AT222" s="10"/>
      <c r="AU222" s="10"/>
      <c r="AV222" s="10"/>
      <c r="AW222" s="10"/>
      <c r="AX222" s="10"/>
      <c r="AY222" s="10"/>
      <c r="AZ222" s="10"/>
      <c r="BA222" s="10"/>
      <c r="BB222" s="10"/>
      <c r="BC222" s="10"/>
      <c r="BD222" s="10"/>
      <c r="BE222" s="10"/>
      <c r="BF222" s="10"/>
      <c r="BG222" s="10"/>
      <c r="BH222" s="10"/>
      <c r="BI222" s="10"/>
      <c r="BJ222" s="10"/>
      <c r="BK222" s="10"/>
      <c r="BL222" s="10" t="s">
        <v>83</v>
      </c>
      <c r="BM222" s="9"/>
      <c r="BN222" s="10" t="s">
        <v>83</v>
      </c>
      <c r="BO222" s="9"/>
      <c r="BP222" s="10">
        <f>-BP142</f>
        <v>-33710</v>
      </c>
      <c r="BQ222" s="9"/>
      <c r="BR222" s="10"/>
      <c r="BS222" s="9"/>
      <c r="BT222" s="10"/>
      <c r="BU222" s="9"/>
      <c r="BV222" s="10"/>
      <c r="BW222" s="9"/>
      <c r="BX222" s="10"/>
      <c r="BY222" s="9"/>
      <c r="BZ222"/>
      <c r="CA222"/>
      <c r="CB222"/>
      <c r="CC222"/>
      <c r="CD222"/>
      <c r="CE222"/>
      <c r="CF222"/>
      <c r="CG222"/>
      <c r="CH222"/>
      <c r="CI222"/>
      <c r="CJ222"/>
      <c r="CK222"/>
      <c r="CL222"/>
      <c r="CM222"/>
      <c r="CN222"/>
      <c r="CO222"/>
      <c r="CP222"/>
      <c r="CQ222"/>
      <c r="CR222"/>
      <c r="CS222"/>
      <c r="CT222"/>
      <c r="CU222"/>
      <c r="CV222"/>
      <c r="CW222"/>
      <c r="CX222"/>
      <c r="CY222"/>
      <c r="CZ222"/>
      <c r="DA222"/>
      <c r="DB222"/>
      <c r="DC222"/>
      <c r="DD222"/>
      <c r="DE222"/>
      <c r="DF222"/>
      <c r="DG222"/>
      <c r="DH222"/>
      <c r="DI222"/>
      <c r="DJ222"/>
      <c r="DK222"/>
      <c r="DL222"/>
      <c r="DM222"/>
      <c r="DN222"/>
      <c r="DO222"/>
      <c r="DP222"/>
      <c r="DQ222"/>
      <c r="DR222"/>
      <c r="DS222"/>
      <c r="DT222"/>
      <c r="DU222"/>
      <c r="DV222"/>
    </row>
    <row r="223" spans="1:126" s="21" customFormat="1" hidden="1">
      <c r="A223" s="58"/>
      <c r="B223" s="31"/>
      <c r="J223" s="8"/>
      <c r="L223" s="141"/>
      <c r="M223" s="9"/>
      <c r="N223" s="10"/>
      <c r="O223" s="9"/>
      <c r="P223" s="10"/>
      <c r="Q223" s="9"/>
      <c r="R223" s="10"/>
      <c r="S223" s="9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  <c r="AK223" s="10"/>
      <c r="AL223" s="10"/>
      <c r="AM223" s="10"/>
      <c r="AN223" s="10"/>
      <c r="AO223" s="10"/>
      <c r="AP223" s="10"/>
      <c r="AQ223" s="10"/>
      <c r="AR223" s="10"/>
      <c r="AS223" s="10"/>
      <c r="AT223" s="10"/>
      <c r="AU223" s="10"/>
      <c r="AV223" s="10"/>
      <c r="AW223" s="10"/>
      <c r="AX223" s="10"/>
      <c r="AY223" s="10"/>
      <c r="AZ223" s="10"/>
      <c r="BA223" s="10"/>
      <c r="BB223" s="10"/>
      <c r="BC223" s="10"/>
      <c r="BD223" s="10"/>
      <c r="BE223" s="10"/>
      <c r="BF223" s="10"/>
      <c r="BG223" s="10"/>
      <c r="BH223" s="10"/>
      <c r="BI223" s="10"/>
      <c r="BJ223" s="10"/>
      <c r="BK223" s="10"/>
      <c r="BL223" s="10" t="s">
        <v>439</v>
      </c>
      <c r="BM223" s="9"/>
      <c r="BN223" s="10" t="s">
        <v>439</v>
      </c>
      <c r="BO223" s="9"/>
      <c r="BP223" s="10">
        <f>-BP134</f>
        <v>-1084341.1600000001</v>
      </c>
      <c r="BQ223" s="9"/>
      <c r="BR223" s="10"/>
      <c r="BS223" s="9"/>
      <c r="BT223" s="10"/>
      <c r="BU223" s="9"/>
      <c r="BV223" s="10"/>
      <c r="BW223" s="9"/>
      <c r="BX223" s="10"/>
      <c r="BY223" s="9"/>
      <c r="BZ223"/>
      <c r="CA223"/>
      <c r="CB223"/>
      <c r="CC223"/>
      <c r="CD223"/>
      <c r="CE223"/>
      <c r="CF223"/>
      <c r="CG223"/>
      <c r="CH223"/>
      <c r="CI223"/>
      <c r="CJ223"/>
      <c r="CK223"/>
      <c r="CL223"/>
      <c r="CM223"/>
      <c r="CN223"/>
      <c r="CO223"/>
      <c r="CP223"/>
      <c r="CQ223"/>
      <c r="CR223"/>
      <c r="CS223"/>
      <c r="CT223"/>
      <c r="CU223"/>
      <c r="CV223"/>
      <c r="CW223"/>
      <c r="CX223"/>
      <c r="CY223"/>
      <c r="CZ223"/>
      <c r="DA223"/>
      <c r="DB223"/>
      <c r="DC223"/>
      <c r="DD223"/>
      <c r="DE223"/>
      <c r="DF223"/>
      <c r="DG223"/>
      <c r="DH223"/>
      <c r="DI223"/>
      <c r="DJ223"/>
      <c r="DK223"/>
      <c r="DL223"/>
      <c r="DM223"/>
      <c r="DN223"/>
      <c r="DO223"/>
      <c r="DP223"/>
      <c r="DQ223"/>
      <c r="DR223"/>
      <c r="DS223"/>
      <c r="DT223"/>
      <c r="DU223"/>
      <c r="DV223"/>
    </row>
    <row r="224" spans="1:126" s="21" customFormat="1" hidden="1">
      <c r="A224" s="58"/>
      <c r="B224" s="31"/>
      <c r="J224" s="8"/>
      <c r="L224" s="141"/>
      <c r="M224" s="9"/>
      <c r="N224" s="10"/>
      <c r="O224" s="9"/>
      <c r="P224" s="10"/>
      <c r="Q224" s="9"/>
      <c r="R224" s="10"/>
      <c r="S224" s="9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  <c r="AJ224" s="10"/>
      <c r="AK224" s="10"/>
      <c r="AL224" s="10"/>
      <c r="AM224" s="10"/>
      <c r="AN224" s="10"/>
      <c r="AO224" s="10"/>
      <c r="AP224" s="10"/>
      <c r="AQ224" s="10"/>
      <c r="AR224" s="10"/>
      <c r="AS224" s="10"/>
      <c r="AT224" s="10"/>
      <c r="AU224" s="10"/>
      <c r="AV224" s="10"/>
      <c r="AW224" s="10"/>
      <c r="AX224" s="10"/>
      <c r="AY224" s="10"/>
      <c r="AZ224" s="10"/>
      <c r="BA224" s="10"/>
      <c r="BB224" s="10"/>
      <c r="BC224" s="10"/>
      <c r="BD224" s="10"/>
      <c r="BE224" s="10"/>
      <c r="BF224" s="10"/>
      <c r="BG224" s="10"/>
      <c r="BH224" s="10"/>
      <c r="BI224" s="10"/>
      <c r="BJ224" s="10"/>
      <c r="BK224" s="10"/>
      <c r="BL224" s="10" t="s">
        <v>443</v>
      </c>
      <c r="BM224" s="9"/>
      <c r="BN224" s="10" t="s">
        <v>443</v>
      </c>
      <c r="BO224" s="9"/>
      <c r="BP224" s="10">
        <f>-BP140</f>
        <v>0</v>
      </c>
      <c r="BQ224" s="9"/>
      <c r="BR224" s="10"/>
      <c r="BS224" s="9"/>
      <c r="BT224" s="10"/>
      <c r="BU224" s="9"/>
      <c r="BV224" s="10"/>
      <c r="BW224" s="9"/>
      <c r="BX224" s="10"/>
      <c r="BY224" s="9"/>
      <c r="BZ224"/>
      <c r="CA224"/>
      <c r="CB224"/>
      <c r="CC224"/>
      <c r="CD224"/>
      <c r="CE224"/>
      <c r="CF224"/>
      <c r="CG224"/>
      <c r="CH224"/>
      <c r="CI224"/>
      <c r="CJ224"/>
      <c r="CK224"/>
      <c r="CL224"/>
      <c r="CM224"/>
      <c r="CN224"/>
      <c r="CO224"/>
      <c r="CP224"/>
      <c r="CQ224"/>
      <c r="CR224"/>
      <c r="CS224"/>
      <c r="CT224"/>
      <c r="CU224"/>
      <c r="CV224"/>
      <c r="CW224"/>
      <c r="CX224"/>
      <c r="CY224"/>
      <c r="CZ224"/>
      <c r="DA224"/>
      <c r="DB224"/>
      <c r="DC224"/>
      <c r="DD224"/>
      <c r="DE224"/>
      <c r="DF224"/>
      <c r="DG224"/>
      <c r="DH224"/>
      <c r="DI224"/>
      <c r="DJ224"/>
      <c r="DK224"/>
      <c r="DL224"/>
      <c r="DM224"/>
      <c r="DN224"/>
      <c r="DO224"/>
      <c r="DP224"/>
      <c r="DQ224"/>
      <c r="DR224"/>
      <c r="DS224"/>
      <c r="DT224"/>
      <c r="DU224"/>
      <c r="DV224"/>
    </row>
    <row r="225" spans="1:126" s="21" customFormat="1" hidden="1">
      <c r="A225" s="58"/>
      <c r="B225" s="31"/>
      <c r="J225" s="8"/>
      <c r="L225" s="141"/>
      <c r="M225" s="9"/>
      <c r="N225" s="10"/>
      <c r="O225" s="9"/>
      <c r="P225" s="10"/>
      <c r="Q225" s="9"/>
      <c r="R225" s="10"/>
      <c r="S225" s="9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0"/>
      <c r="AJ225" s="10"/>
      <c r="AK225" s="10"/>
      <c r="AL225" s="10"/>
      <c r="AM225" s="10"/>
      <c r="AN225" s="10"/>
      <c r="AO225" s="10"/>
      <c r="AP225" s="10"/>
      <c r="AQ225" s="10"/>
      <c r="AR225" s="10"/>
      <c r="AS225" s="10"/>
      <c r="AT225" s="10"/>
      <c r="AU225" s="10"/>
      <c r="AV225" s="10"/>
      <c r="AW225" s="10"/>
      <c r="AX225" s="10"/>
      <c r="AY225" s="10"/>
      <c r="AZ225" s="10"/>
      <c r="BA225" s="10"/>
      <c r="BB225" s="10"/>
      <c r="BC225" s="10"/>
      <c r="BD225" s="10"/>
      <c r="BE225" s="10"/>
      <c r="BF225" s="10"/>
      <c r="BG225" s="10"/>
      <c r="BH225" s="10"/>
      <c r="BI225" s="10"/>
      <c r="BJ225" s="10"/>
      <c r="BK225" s="10"/>
      <c r="BL225" s="10" t="s">
        <v>441</v>
      </c>
      <c r="BM225" s="9"/>
      <c r="BN225" s="10" t="s">
        <v>441</v>
      </c>
      <c r="BO225" s="9"/>
      <c r="BP225" s="10">
        <v>-22627</v>
      </c>
      <c r="BQ225" s="9"/>
      <c r="BR225" s="10"/>
      <c r="BS225" s="9"/>
      <c r="BT225" s="10"/>
      <c r="BU225" s="9"/>
      <c r="BV225" s="10"/>
      <c r="BW225" s="9"/>
      <c r="BX225" s="10"/>
      <c r="BY225" s="9"/>
      <c r="BZ225"/>
      <c r="CA225"/>
      <c r="CB225"/>
      <c r="CC225"/>
      <c r="CD225"/>
      <c r="CE225"/>
      <c r="CF225"/>
      <c r="CG225"/>
      <c r="CH225"/>
      <c r="CI225"/>
      <c r="CJ225"/>
      <c r="CK225"/>
      <c r="CL225"/>
      <c r="CM225"/>
      <c r="CN225"/>
      <c r="CO225"/>
      <c r="CP225"/>
      <c r="CQ225"/>
      <c r="CR225"/>
      <c r="CS225"/>
      <c r="CT225"/>
      <c r="CU225"/>
      <c r="CV225"/>
      <c r="CW225"/>
      <c r="CX225"/>
      <c r="CY225"/>
      <c r="CZ225"/>
      <c r="DA225"/>
      <c r="DB225"/>
      <c r="DC225"/>
      <c r="DD225"/>
      <c r="DE225"/>
      <c r="DF225"/>
      <c r="DG225"/>
      <c r="DH225"/>
      <c r="DI225"/>
      <c r="DJ225"/>
      <c r="DK225"/>
      <c r="DL225"/>
      <c r="DM225"/>
      <c r="DN225"/>
      <c r="DO225"/>
      <c r="DP225"/>
      <c r="DQ225"/>
      <c r="DR225"/>
      <c r="DS225"/>
      <c r="DT225"/>
      <c r="DU225"/>
      <c r="DV225"/>
    </row>
    <row r="226" spans="1:126" s="21" customFormat="1" hidden="1">
      <c r="A226" s="58"/>
      <c r="B226" s="31"/>
      <c r="J226" s="8"/>
      <c r="L226" s="141"/>
      <c r="M226" s="9"/>
      <c r="N226" s="10"/>
      <c r="O226" s="9"/>
      <c r="P226" s="10"/>
      <c r="Q226" s="9"/>
      <c r="R226" s="10"/>
      <c r="S226" s="9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10"/>
      <c r="AJ226" s="10"/>
      <c r="AK226" s="10"/>
      <c r="AL226" s="10"/>
      <c r="AM226" s="10"/>
      <c r="AN226" s="10"/>
      <c r="AO226" s="10"/>
      <c r="AP226" s="10"/>
      <c r="AQ226" s="10"/>
      <c r="AR226" s="10"/>
      <c r="AS226" s="10"/>
      <c r="AT226" s="10"/>
      <c r="AU226" s="10"/>
      <c r="AV226" s="10"/>
      <c r="AW226" s="10"/>
      <c r="AX226" s="10"/>
      <c r="AY226" s="10"/>
      <c r="AZ226" s="10"/>
      <c r="BA226" s="10"/>
      <c r="BB226" s="10"/>
      <c r="BC226" s="10"/>
      <c r="BD226" s="10"/>
      <c r="BE226" s="10"/>
      <c r="BF226" s="10"/>
      <c r="BG226" s="10"/>
      <c r="BH226" s="10"/>
      <c r="BI226" s="10"/>
      <c r="BJ226" s="10"/>
      <c r="BK226" s="10"/>
      <c r="BL226" s="10"/>
      <c r="BM226" s="9"/>
      <c r="BN226" s="10"/>
      <c r="BO226" s="9"/>
      <c r="BP226" s="10">
        <f>SUM(BP219:BP225)</f>
        <v>169345904.1936675</v>
      </c>
      <c r="BQ226" s="9"/>
      <c r="BR226" s="10"/>
      <c r="BS226" s="9"/>
      <c r="BT226" s="10"/>
      <c r="BU226" s="9"/>
      <c r="BV226" s="10"/>
      <c r="BW226" s="9"/>
      <c r="BX226" s="10"/>
      <c r="BY226" s="9"/>
      <c r="BZ226"/>
      <c r="CA226"/>
      <c r="CB226"/>
      <c r="CC226"/>
      <c r="CD226"/>
      <c r="CE226"/>
      <c r="CF226"/>
      <c r="CG226"/>
      <c r="CH226"/>
      <c r="CI226"/>
      <c r="CJ226"/>
      <c r="CK226"/>
      <c r="CL226"/>
      <c r="CM226"/>
      <c r="CN226"/>
      <c r="CO226"/>
      <c r="CP226"/>
      <c r="CQ226"/>
      <c r="CR226"/>
      <c r="CS226"/>
      <c r="CT226"/>
      <c r="CU226"/>
      <c r="CV226"/>
      <c r="CW226"/>
      <c r="CX226"/>
      <c r="CY226"/>
      <c r="CZ226"/>
      <c r="DA226"/>
      <c r="DB226"/>
      <c r="DC226"/>
      <c r="DD226"/>
      <c r="DE226"/>
      <c r="DF226"/>
      <c r="DG226"/>
      <c r="DH226"/>
      <c r="DI226"/>
      <c r="DJ226"/>
      <c r="DK226"/>
      <c r="DL226"/>
      <c r="DM226"/>
      <c r="DN226"/>
      <c r="DO226"/>
      <c r="DP226"/>
      <c r="DQ226"/>
      <c r="DR226"/>
      <c r="DS226"/>
      <c r="DT226"/>
      <c r="DU226"/>
      <c r="DV226"/>
    </row>
    <row r="227" spans="1:126" s="21" customFormat="1" hidden="1">
      <c r="A227" s="58"/>
      <c r="B227" s="31"/>
      <c r="J227" s="8"/>
      <c r="L227" s="141"/>
      <c r="M227" s="9"/>
      <c r="N227" s="10"/>
      <c r="O227" s="9"/>
      <c r="P227" s="10"/>
      <c r="Q227" s="9"/>
      <c r="R227" s="10"/>
      <c r="S227" s="9"/>
      <c r="T227" s="10"/>
      <c r="U227" s="9"/>
      <c r="V227" s="10"/>
      <c r="W227" s="9"/>
      <c r="X227" s="10"/>
      <c r="Y227" s="9"/>
      <c r="Z227" s="10"/>
      <c r="AA227" s="9"/>
      <c r="AB227" s="10"/>
      <c r="AC227" s="9"/>
      <c r="AD227" s="10"/>
      <c r="AE227" s="9"/>
      <c r="AF227" s="10"/>
      <c r="AG227" s="9"/>
      <c r="AH227" s="10"/>
      <c r="AI227" s="9"/>
      <c r="AJ227" s="10"/>
      <c r="AK227" s="9"/>
      <c r="AL227" s="10"/>
      <c r="AM227" s="9"/>
      <c r="AN227" s="10"/>
      <c r="AO227" s="9"/>
      <c r="AP227" s="10"/>
      <c r="AQ227" s="9"/>
      <c r="AR227" s="10"/>
      <c r="AS227" s="9"/>
      <c r="AT227" s="10"/>
      <c r="AU227" s="9"/>
      <c r="AV227" s="10"/>
      <c r="AW227" s="10"/>
      <c r="AX227" s="10"/>
      <c r="AY227" s="10"/>
      <c r="AZ227" s="10"/>
      <c r="BA227" s="10"/>
      <c r="BB227" s="10"/>
      <c r="BC227"/>
      <c r="BD227" s="10"/>
      <c r="BE227"/>
      <c r="BF227" s="10"/>
      <c r="BG227" s="10"/>
      <c r="BH227" s="10"/>
      <c r="BI227" s="10"/>
      <c r="BJ227" s="10"/>
      <c r="BK227" s="10"/>
      <c r="BL227" s="10"/>
      <c r="BM227" s="9"/>
      <c r="BN227" s="10"/>
      <c r="BO227" s="9"/>
      <c r="BP227" s="10"/>
      <c r="BQ227" s="9"/>
      <c r="BR227" s="10"/>
      <c r="BS227" s="9"/>
      <c r="BT227" s="10"/>
      <c r="BU227" s="9"/>
      <c r="BV227" s="10"/>
      <c r="BW227" s="9"/>
      <c r="BX227" s="10"/>
      <c r="BY227" s="9"/>
      <c r="BZ227"/>
      <c r="CA227"/>
      <c r="CB227"/>
      <c r="CC227"/>
      <c r="CD227"/>
      <c r="CE227"/>
      <c r="CF227"/>
      <c r="CG227"/>
      <c r="CH227"/>
      <c r="CI227"/>
      <c r="CJ227"/>
      <c r="CK227"/>
      <c r="CL227"/>
      <c r="CM227"/>
      <c r="CN227"/>
      <c r="CO227"/>
      <c r="CP227"/>
      <c r="CQ227"/>
      <c r="CR227"/>
      <c r="CS227"/>
      <c r="CT227"/>
      <c r="CU227"/>
      <c r="CV227"/>
      <c r="CW227"/>
      <c r="CX227"/>
      <c r="CY227"/>
      <c r="CZ227"/>
      <c r="DA227"/>
      <c r="DB227"/>
      <c r="DC227"/>
      <c r="DD227"/>
      <c r="DE227"/>
      <c r="DF227"/>
      <c r="DG227"/>
      <c r="DH227"/>
      <c r="DI227"/>
      <c r="DJ227"/>
      <c r="DK227"/>
      <c r="DL227"/>
      <c r="DM227"/>
      <c r="DN227"/>
      <c r="DO227"/>
      <c r="DP227"/>
      <c r="DQ227"/>
      <c r="DR227"/>
      <c r="DS227"/>
      <c r="DT227"/>
      <c r="DU227"/>
      <c r="DV227"/>
    </row>
    <row r="228" spans="1:126" s="21" customFormat="1" hidden="1">
      <c r="A228" s="58"/>
      <c r="B228" s="31"/>
      <c r="J228" s="8"/>
      <c r="L228" s="141"/>
      <c r="M228" s="9"/>
      <c r="N228" s="10"/>
      <c r="O228" s="9"/>
      <c r="P228" s="10"/>
      <c r="Q228" s="9"/>
      <c r="R228" s="10"/>
      <c r="S228" s="9"/>
      <c r="T228" s="10"/>
      <c r="U228" s="9"/>
      <c r="V228" s="10"/>
      <c r="W228" s="9"/>
      <c r="X228" s="10"/>
      <c r="Y228" s="9"/>
      <c r="Z228" s="10"/>
      <c r="AA228" s="9"/>
      <c r="AB228" s="10"/>
      <c r="AC228" s="9"/>
      <c r="AD228" s="10"/>
      <c r="AE228" s="9"/>
      <c r="AF228" s="10"/>
      <c r="AG228" s="9"/>
      <c r="AH228" s="10"/>
      <c r="AI228" s="9"/>
      <c r="AJ228" s="10"/>
      <c r="AK228" s="9"/>
      <c r="AL228" s="10"/>
      <c r="AM228" s="9"/>
      <c r="AN228" s="10"/>
      <c r="AO228" s="9"/>
      <c r="AP228" s="10"/>
      <c r="AQ228" s="9"/>
      <c r="AR228" s="10"/>
      <c r="AS228" s="9"/>
      <c r="AT228" s="10"/>
      <c r="AU228" s="9"/>
      <c r="AV228" s="10"/>
      <c r="AW228" s="10"/>
      <c r="AX228" s="10"/>
      <c r="AY228" s="10"/>
      <c r="AZ228" s="10"/>
      <c r="BA228" s="10"/>
      <c r="BB228" s="10"/>
      <c r="BC228"/>
      <c r="BD228" s="10"/>
      <c r="BE228"/>
      <c r="BF228" s="10"/>
      <c r="BG228" s="10"/>
      <c r="BH228" s="10"/>
      <c r="BI228" s="10"/>
      <c r="BJ228" s="10"/>
      <c r="BK228" s="10"/>
      <c r="BL228" s="10" t="s">
        <v>442</v>
      </c>
      <c r="BM228" s="9"/>
      <c r="BN228" s="10" t="s">
        <v>442</v>
      </c>
      <c r="BO228" s="9"/>
      <c r="BP228" s="10">
        <v>168942454.84</v>
      </c>
      <c r="BQ228" s="9"/>
      <c r="BR228" s="10"/>
      <c r="BS228" s="9"/>
      <c r="BT228" s="10"/>
      <c r="BU228" s="9"/>
      <c r="BV228" s="10"/>
      <c r="BW228" s="9"/>
      <c r="BX228" s="10"/>
      <c r="BY228" s="9"/>
      <c r="BZ228"/>
      <c r="CA228"/>
      <c r="CB228"/>
      <c r="CC228"/>
      <c r="CD228"/>
      <c r="CE228"/>
      <c r="CF228"/>
      <c r="CG228"/>
      <c r="CH228"/>
      <c r="CI228"/>
      <c r="CJ228"/>
      <c r="CK228"/>
      <c r="CL228"/>
      <c r="CM228"/>
      <c r="CN228"/>
      <c r="CO228"/>
      <c r="CP228"/>
      <c r="CQ228"/>
      <c r="CR228"/>
      <c r="CS228"/>
      <c r="CT228"/>
      <c r="CU228"/>
      <c r="CV228"/>
      <c r="CW228"/>
      <c r="CX228"/>
      <c r="CY228"/>
      <c r="CZ228"/>
      <c r="DA228"/>
      <c r="DB228"/>
      <c r="DC228"/>
      <c r="DD228"/>
      <c r="DE228"/>
      <c r="DF228"/>
      <c r="DG228"/>
      <c r="DH228"/>
      <c r="DI228"/>
      <c r="DJ228"/>
      <c r="DK228"/>
      <c r="DL228"/>
      <c r="DM228"/>
      <c r="DN228"/>
      <c r="DO228"/>
      <c r="DP228"/>
      <c r="DQ228"/>
      <c r="DR228"/>
      <c r="DS228"/>
      <c r="DT228"/>
      <c r="DU228"/>
      <c r="DV228"/>
    </row>
    <row r="229" spans="1:126" s="21" customFormat="1" hidden="1">
      <c r="A229" s="58"/>
      <c r="B229" s="31"/>
      <c r="J229" s="8"/>
      <c r="L229" s="141"/>
      <c r="M229" s="9"/>
      <c r="N229" s="10"/>
      <c r="O229" s="9"/>
      <c r="P229" s="10"/>
      <c r="Q229" s="9"/>
      <c r="R229" s="10"/>
      <c r="S229" s="9"/>
      <c r="T229" s="10"/>
      <c r="U229" s="9"/>
      <c r="V229" s="10"/>
      <c r="W229" s="9"/>
      <c r="X229" s="10"/>
      <c r="Y229" s="9"/>
      <c r="Z229" s="10"/>
      <c r="AA229" s="9"/>
      <c r="AB229" s="10"/>
      <c r="AC229" s="9"/>
      <c r="AD229" s="10"/>
      <c r="AE229" s="9"/>
      <c r="AF229" s="10"/>
      <c r="AG229" s="9"/>
      <c r="AH229" s="10"/>
      <c r="AI229" s="9"/>
      <c r="AJ229" s="10"/>
      <c r="AK229" s="9"/>
      <c r="AL229" s="10"/>
      <c r="AM229" s="9"/>
      <c r="AN229" s="10"/>
      <c r="AO229" s="9"/>
      <c r="AP229" s="10"/>
      <c r="AQ229" s="9"/>
      <c r="AR229" s="10"/>
      <c r="AS229" s="9"/>
      <c r="AT229" s="10"/>
      <c r="AU229" s="9"/>
      <c r="AV229" s="10"/>
      <c r="AW229" s="10"/>
      <c r="AX229" s="10"/>
      <c r="AY229" s="10"/>
      <c r="AZ229" s="10"/>
      <c r="BA229" s="10"/>
      <c r="BB229" s="10"/>
      <c r="BC229"/>
      <c r="BD229" s="10"/>
      <c r="BE229"/>
      <c r="BF229" s="10"/>
      <c r="BG229" s="10"/>
      <c r="BH229" s="10"/>
      <c r="BI229" s="10"/>
      <c r="BJ229" s="10"/>
      <c r="BK229" s="10"/>
      <c r="BL229" s="10"/>
      <c r="BM229" s="9"/>
      <c r="BN229" s="10"/>
      <c r="BO229" s="9"/>
      <c r="BP229" s="10">
        <f>BP226-BP228</f>
        <v>403449.35366749763</v>
      </c>
      <c r="BQ229" s="9"/>
      <c r="BR229" s="10"/>
      <c r="BS229" s="9"/>
      <c r="BT229" s="10"/>
      <c r="BU229" s="9"/>
      <c r="BV229" s="10"/>
      <c r="BW229" s="9"/>
      <c r="BX229" s="10"/>
      <c r="BY229" s="9"/>
      <c r="BZ229"/>
      <c r="CA229"/>
      <c r="CB229"/>
      <c r="CC229"/>
      <c r="CD229"/>
      <c r="CE229"/>
      <c r="CF229"/>
      <c r="CG229"/>
      <c r="CH229"/>
      <c r="CI229"/>
      <c r="CJ229"/>
      <c r="CK229"/>
      <c r="CL229"/>
      <c r="CM229"/>
      <c r="CN229"/>
      <c r="CO229"/>
      <c r="CP229"/>
      <c r="CQ229"/>
      <c r="CR229"/>
      <c r="CS229"/>
      <c r="CT229"/>
      <c r="CU229"/>
      <c r="CV229"/>
      <c r="CW229"/>
      <c r="CX229"/>
      <c r="CY229"/>
      <c r="CZ229"/>
      <c r="DA229"/>
      <c r="DB229"/>
      <c r="DC229"/>
      <c r="DD229"/>
      <c r="DE229"/>
      <c r="DF229"/>
      <c r="DG229"/>
      <c r="DH229"/>
      <c r="DI229"/>
      <c r="DJ229"/>
      <c r="DK229"/>
      <c r="DL229"/>
      <c r="DM229"/>
      <c r="DN229"/>
      <c r="DO229"/>
      <c r="DP229"/>
      <c r="DQ229"/>
      <c r="DR229"/>
      <c r="DS229"/>
      <c r="DT229"/>
      <c r="DU229"/>
      <c r="DV229"/>
    </row>
    <row r="230" spans="1:126" s="21" customFormat="1">
      <c r="A230" s="58"/>
      <c r="B230" s="31"/>
      <c r="J230" s="8"/>
      <c r="L230" s="141"/>
      <c r="M230" s="9"/>
      <c r="N230" s="10"/>
      <c r="O230" s="9"/>
      <c r="P230" s="10"/>
      <c r="Q230" s="9"/>
      <c r="R230" s="10"/>
      <c r="S230" s="9"/>
      <c r="T230" s="10"/>
      <c r="U230" s="9"/>
      <c r="V230" s="10"/>
      <c r="W230" s="9"/>
      <c r="X230" s="10"/>
      <c r="Y230" s="9"/>
      <c r="Z230" s="10"/>
      <c r="AA230" s="9"/>
      <c r="AB230" s="10"/>
      <c r="AC230" s="9"/>
      <c r="AD230" s="10"/>
      <c r="AE230" s="9"/>
      <c r="AF230" s="10"/>
      <c r="AG230" s="9"/>
      <c r="AH230" s="10"/>
      <c r="AI230" s="9"/>
      <c r="AJ230" s="10"/>
      <c r="AK230" s="9"/>
      <c r="AL230" s="10"/>
      <c r="AM230" s="9"/>
      <c r="AN230" s="10"/>
      <c r="AO230" s="9"/>
      <c r="AP230" s="10"/>
      <c r="AQ230" s="9"/>
      <c r="AR230" s="10"/>
      <c r="AS230" s="9"/>
      <c r="AT230" s="10"/>
      <c r="AU230" s="9"/>
      <c r="AV230" s="10"/>
      <c r="AW230" s="10"/>
      <c r="AX230" s="10"/>
      <c r="AY230" s="10"/>
      <c r="AZ230" s="10"/>
      <c r="BA230" s="10"/>
      <c r="BB230" s="10"/>
      <c r="BC230"/>
      <c r="BD230" s="10"/>
      <c r="BE230"/>
      <c r="BF230" s="10"/>
      <c r="BG230" s="10"/>
      <c r="BH230" s="10"/>
      <c r="BI230" s="10"/>
      <c r="BJ230" s="10"/>
      <c r="BK230" s="10"/>
      <c r="BL230" s="10"/>
      <c r="BM230" s="9"/>
      <c r="BN230" s="10"/>
      <c r="BO230" s="9"/>
      <c r="BP230" s="10"/>
      <c r="BQ230" s="9"/>
      <c r="BR230" s="10"/>
      <c r="BS230" s="9"/>
      <c r="BT230" s="10"/>
      <c r="BU230" s="9"/>
      <c r="BV230" s="10"/>
      <c r="BW230" s="9"/>
      <c r="BX230" s="10"/>
      <c r="BY230" s="9"/>
      <c r="BZ230"/>
      <c r="CA230"/>
      <c r="CB230"/>
      <c r="CC230"/>
      <c r="CD230"/>
      <c r="CE230"/>
      <c r="CF230"/>
      <c r="CG230"/>
      <c r="CH230"/>
      <c r="CI230"/>
      <c r="CJ230"/>
      <c r="CK230"/>
      <c r="CL230"/>
      <c r="CM230"/>
      <c r="CN230"/>
      <c r="CO230"/>
      <c r="CP230"/>
      <c r="CQ230"/>
      <c r="CR230"/>
      <c r="CS230"/>
      <c r="CT230"/>
      <c r="CU230"/>
      <c r="CV230"/>
      <c r="CW230"/>
      <c r="CX230"/>
      <c r="CY230"/>
      <c r="CZ230"/>
      <c r="DA230"/>
      <c r="DB230"/>
      <c r="DC230"/>
      <c r="DD230"/>
      <c r="DE230"/>
      <c r="DF230"/>
      <c r="DG230"/>
      <c r="DH230"/>
      <c r="DI230"/>
      <c r="DJ230"/>
      <c r="DK230"/>
      <c r="DL230"/>
      <c r="DM230"/>
      <c r="DN230"/>
      <c r="DO230"/>
      <c r="DP230"/>
      <c r="DQ230"/>
      <c r="DR230"/>
      <c r="DS230"/>
      <c r="DT230"/>
      <c r="DU230"/>
      <c r="DV230"/>
    </row>
    <row r="231" spans="1:126">
      <c r="C231"/>
      <c r="D231"/>
      <c r="E231"/>
      <c r="F231"/>
      <c r="G231"/>
      <c r="H231"/>
      <c r="I231"/>
      <c r="J231" s="49"/>
      <c r="K231"/>
      <c r="L231" s="132"/>
      <c r="M231" s="6"/>
      <c r="O231" s="6"/>
      <c r="Q231" s="6"/>
      <c r="S231" s="6"/>
      <c r="T231" s="6"/>
      <c r="U231" s="6"/>
      <c r="V231" s="6"/>
      <c r="X231" s="6"/>
      <c r="Z231" s="6"/>
      <c r="AB231" s="6"/>
      <c r="AD231" s="6"/>
      <c r="BL231" s="6"/>
      <c r="BM231" s="6"/>
      <c r="BN231" s="6"/>
      <c r="BO231" s="6"/>
      <c r="BQ231" s="6"/>
      <c r="BR231" s="6"/>
      <c r="BS231" s="6"/>
      <c r="BY231" s="6"/>
      <c r="BZ231"/>
      <c r="CA231"/>
      <c r="CB231"/>
      <c r="CC231"/>
      <c r="CD231"/>
      <c r="CE231"/>
      <c r="CF231"/>
      <c r="CG231"/>
      <c r="CH231"/>
      <c r="CI231"/>
      <c r="CJ231"/>
      <c r="CK231"/>
      <c r="CL231"/>
      <c r="CM231"/>
      <c r="CN231"/>
      <c r="CO231"/>
      <c r="CP231"/>
      <c r="CQ231"/>
      <c r="CR231"/>
      <c r="CS231"/>
      <c r="CT231"/>
      <c r="CU231"/>
      <c r="CV231"/>
      <c r="CW231"/>
      <c r="CX231"/>
      <c r="CY231"/>
      <c r="CZ231"/>
      <c r="DA231"/>
      <c r="DB231"/>
      <c r="DC231"/>
      <c r="DD231"/>
      <c r="DE231"/>
      <c r="DF231"/>
      <c r="DG231"/>
      <c r="DH231"/>
      <c r="DI231"/>
      <c r="DJ231"/>
      <c r="DK231"/>
      <c r="DL231"/>
      <c r="DM231"/>
      <c r="DN231"/>
      <c r="DO231"/>
      <c r="DP231"/>
      <c r="DQ231"/>
      <c r="DR231"/>
      <c r="DS231"/>
      <c r="DT231"/>
      <c r="DU231"/>
      <c r="DV231"/>
    </row>
    <row r="232" spans="1:126" customFormat="1" ht="15">
      <c r="A232" s="286" t="s">
        <v>403</v>
      </c>
      <c r="BP232" s="248"/>
    </row>
    <row r="233" spans="1:126" customFormat="1">
      <c r="A233" s="58" t="s">
        <v>284</v>
      </c>
      <c r="BP233" s="248"/>
    </row>
    <row r="234" spans="1:126" customFormat="1">
      <c r="A234" s="58"/>
      <c r="B234" t="s">
        <v>79</v>
      </c>
      <c r="BB234" s="35">
        <v>200000</v>
      </c>
      <c r="BD234" s="35">
        <v>685000</v>
      </c>
      <c r="BH234" s="35"/>
      <c r="BJ234" s="6"/>
      <c r="BL234" s="6">
        <f>1703000-685000</f>
        <v>1018000</v>
      </c>
      <c r="BN234" s="6">
        <v>327840</v>
      </c>
      <c r="BP234" s="10">
        <f>SUM(T234:BO234)</f>
        <v>2230840</v>
      </c>
    </row>
    <row r="235" spans="1:126" customFormat="1">
      <c r="A235" s="30"/>
      <c r="B235" t="s">
        <v>405</v>
      </c>
      <c r="L235" s="49">
        <v>43950</v>
      </c>
      <c r="R235" s="35">
        <v>25518545</v>
      </c>
      <c r="BB235" s="35">
        <f>10308.53+62748.66</f>
        <v>73057.19</v>
      </c>
      <c r="BD235" s="35">
        <v>0</v>
      </c>
      <c r="BF235" s="35"/>
      <c r="BG235" s="35"/>
      <c r="BH235" s="35"/>
      <c r="BI235" s="35"/>
      <c r="BJ235" s="6"/>
      <c r="BK235" s="35"/>
      <c r="BL235" s="35">
        <v>369554</v>
      </c>
      <c r="BM235" s="35"/>
      <c r="BN235" s="35"/>
      <c r="BO235" s="35"/>
      <c r="BP235" s="10">
        <f>SUM(S235:BL235)</f>
        <v>442611.19</v>
      </c>
      <c r="BQ235" s="9"/>
      <c r="BR235" s="10">
        <v>0</v>
      </c>
      <c r="BS235" s="9"/>
      <c r="BT235" s="6">
        <f>IF(+R235-BP235+BR235&gt;0,R235-BP235+BR235,0)</f>
        <v>25075933.809999999</v>
      </c>
      <c r="BU235" s="9"/>
      <c r="BV235" s="9">
        <f>+BP235+BT235</f>
        <v>25518545</v>
      </c>
      <c r="BW235" s="9"/>
      <c r="BX235" s="6">
        <f>+R235-BV235</f>
        <v>0</v>
      </c>
      <c r="BY235" s="9"/>
      <c r="BZ235" s="35"/>
      <c r="CA235" s="35"/>
      <c r="CB235" s="35"/>
      <c r="CC235" s="35"/>
      <c r="CD235" s="35"/>
      <c r="CE235" s="35"/>
      <c r="CF235" s="35"/>
      <c r="CG235" s="35"/>
      <c r="CH235" s="35"/>
      <c r="CI235" s="35"/>
      <c r="CJ235" s="35"/>
      <c r="CK235" s="35"/>
      <c r="CL235" s="35"/>
    </row>
    <row r="236" spans="1:126" customFormat="1">
      <c r="A236" s="30"/>
      <c r="B236" t="s">
        <v>406</v>
      </c>
      <c r="L236" s="49" t="s">
        <v>402</v>
      </c>
      <c r="R236" s="35">
        <v>975356</v>
      </c>
      <c r="BB236" s="35">
        <v>629</v>
      </c>
      <c r="BD236" s="35"/>
      <c r="BF236" s="35"/>
      <c r="BG236" s="35"/>
      <c r="BH236" s="35"/>
      <c r="BI236" s="35"/>
      <c r="BJ236" s="6"/>
      <c r="BK236" s="35"/>
      <c r="BL236" s="35">
        <v>1641</v>
      </c>
      <c r="BM236" s="35"/>
      <c r="BN236" s="35"/>
      <c r="BO236" s="35"/>
      <c r="BP236" s="10">
        <f>SUM(T236:BO236)</f>
        <v>2270</v>
      </c>
      <c r="BQ236" s="9"/>
      <c r="BR236" s="10">
        <v>0</v>
      </c>
      <c r="BS236" s="9"/>
      <c r="BT236" s="6">
        <f>IF(+R236-BP236+BR236&gt;0,R236-BP236+BR236,0)</f>
        <v>973086</v>
      </c>
      <c r="BU236" s="9"/>
      <c r="BV236" s="9">
        <f>+BP236+BT236</f>
        <v>975356</v>
      </c>
      <c r="BW236" s="9"/>
      <c r="BX236" s="6">
        <f>+R236-BV236</f>
        <v>0</v>
      </c>
      <c r="BY236" s="9"/>
      <c r="BZ236" s="35"/>
      <c r="CA236" s="35"/>
      <c r="CB236" s="35"/>
      <c r="CC236" s="35"/>
      <c r="CD236" s="35"/>
      <c r="CE236" s="35"/>
      <c r="CF236" s="35"/>
      <c r="CG236" s="35"/>
      <c r="CH236" s="35"/>
      <c r="CI236" s="35"/>
      <c r="CJ236" s="35"/>
      <c r="CK236" s="35"/>
      <c r="CL236" s="35"/>
    </row>
    <row r="237" spans="1:126" customFormat="1">
      <c r="A237" s="30"/>
      <c r="B237" s="11" t="s">
        <v>359</v>
      </c>
      <c r="L237" s="49">
        <v>44484</v>
      </c>
      <c r="R237" s="36">
        <v>132742</v>
      </c>
      <c r="BB237" s="36">
        <f>1005.26+15817.94+8004</f>
        <v>24827.200000000001</v>
      </c>
      <c r="BD237" s="36"/>
      <c r="BF237" s="35"/>
      <c r="BG237" s="35"/>
      <c r="BH237" s="36"/>
      <c r="BI237" s="35"/>
      <c r="BJ237" s="260"/>
      <c r="BK237" s="35"/>
      <c r="BL237" s="36">
        <v>142809</v>
      </c>
      <c r="BM237" s="35"/>
      <c r="BN237" s="36"/>
      <c r="BO237" s="35"/>
      <c r="BP237" s="259">
        <f>SUM(T237:BO237)</f>
        <v>167636.20000000001</v>
      </c>
      <c r="BQ237" s="9"/>
      <c r="BR237" s="10">
        <v>0</v>
      </c>
      <c r="BS237" s="9"/>
      <c r="BT237" s="260">
        <f>IF(+R237-BP237+BR237&gt;0,R237-BP237+BR237,0)</f>
        <v>0</v>
      </c>
      <c r="BU237" s="9"/>
      <c r="BV237" s="259">
        <f>+BP237+BT237</f>
        <v>167636.20000000001</v>
      </c>
      <c r="BW237" s="9"/>
      <c r="BX237" s="260">
        <f>+R237-BV237</f>
        <v>-34894.200000000012</v>
      </c>
      <c r="BY237" s="9"/>
      <c r="BZ237" s="35"/>
      <c r="CA237" s="35"/>
      <c r="CB237" s="35"/>
      <c r="CC237" s="35"/>
      <c r="CD237" s="35"/>
      <c r="CE237" s="35"/>
      <c r="CF237" s="35"/>
      <c r="CG237" s="35"/>
      <c r="CH237" s="35"/>
      <c r="CI237" s="35"/>
      <c r="CJ237" s="35"/>
      <c r="CK237" s="35"/>
      <c r="CL237" s="35"/>
    </row>
    <row r="238" spans="1:126" customFormat="1">
      <c r="A238" s="30"/>
      <c r="L238" s="49"/>
      <c r="R238" s="35">
        <f>SUM(R235:R237)</f>
        <v>26626643</v>
      </c>
      <c r="BB238" s="35">
        <f>SUM(BB234:BB237)</f>
        <v>298513.39</v>
      </c>
      <c r="BD238" s="35">
        <f t="shared" ref="BD238:BY238" si="55">SUM(BD234:BD237)</f>
        <v>685000</v>
      </c>
      <c r="BF238" s="35">
        <f t="shared" si="55"/>
        <v>0</v>
      </c>
      <c r="BG238" s="35">
        <f t="shared" si="55"/>
        <v>0</v>
      </c>
      <c r="BH238" s="35">
        <f>SUM(BH234:BH237)</f>
        <v>0</v>
      </c>
      <c r="BI238" s="35">
        <f t="shared" si="55"/>
        <v>0</v>
      </c>
      <c r="BJ238" s="35">
        <f>SUM(BJ234:BJ236)</f>
        <v>0</v>
      </c>
      <c r="BK238" s="35">
        <f t="shared" si="55"/>
        <v>0</v>
      </c>
      <c r="BL238" s="35">
        <f>SUM(BL234:BL237)</f>
        <v>1532004</v>
      </c>
      <c r="BM238" s="35">
        <f t="shared" si="55"/>
        <v>0</v>
      </c>
      <c r="BN238" s="35">
        <f>SUM(BN234:BN237)</f>
        <v>327840</v>
      </c>
      <c r="BO238" s="35">
        <f t="shared" si="55"/>
        <v>0</v>
      </c>
      <c r="BP238" s="9">
        <f t="shared" si="55"/>
        <v>2843357.39</v>
      </c>
      <c r="BQ238" s="35">
        <f t="shared" si="55"/>
        <v>0</v>
      </c>
      <c r="BR238" s="35">
        <f t="shared" si="55"/>
        <v>0</v>
      </c>
      <c r="BS238" s="35">
        <f t="shared" si="55"/>
        <v>0</v>
      </c>
      <c r="BT238" s="9">
        <f t="shared" si="55"/>
        <v>26049019.809999999</v>
      </c>
      <c r="BU238" s="9">
        <f t="shared" si="55"/>
        <v>0</v>
      </c>
      <c r="BV238" s="9">
        <f t="shared" si="55"/>
        <v>26661537.199999999</v>
      </c>
      <c r="BW238" s="9">
        <f t="shared" si="55"/>
        <v>0</v>
      </c>
      <c r="BX238" s="9">
        <f t="shared" si="55"/>
        <v>-34894.200000000012</v>
      </c>
      <c r="BY238" s="9">
        <f t="shared" si="55"/>
        <v>0</v>
      </c>
      <c r="BZ238" s="9"/>
      <c r="CA238" s="9"/>
      <c r="CB238" s="9"/>
      <c r="CC238" s="35"/>
      <c r="CD238" s="35"/>
      <c r="CE238" s="35"/>
      <c r="CF238" s="35"/>
      <c r="CG238" s="35"/>
      <c r="CH238" s="35"/>
      <c r="CI238" s="35"/>
      <c r="CJ238" s="35"/>
      <c r="CK238" s="35"/>
      <c r="CL238" s="35"/>
    </row>
    <row r="239" spans="1:126" customFormat="1">
      <c r="A239" s="11"/>
      <c r="L239" s="49"/>
      <c r="BB239" s="35"/>
      <c r="BD239" s="35"/>
      <c r="BF239" s="35"/>
      <c r="BG239" s="35"/>
      <c r="BH239" s="35"/>
      <c r="BI239" s="35"/>
      <c r="BJ239" s="35"/>
      <c r="BK239" s="35"/>
      <c r="BL239" s="35"/>
      <c r="BM239" s="35"/>
      <c r="BN239" s="35"/>
      <c r="BO239" s="35"/>
      <c r="BP239" s="35"/>
      <c r="BQ239" s="35"/>
      <c r="BR239" s="35"/>
      <c r="BS239" s="35"/>
      <c r="BT239" s="35"/>
      <c r="BU239" s="35"/>
      <c r="BV239" s="35"/>
      <c r="BW239" s="35"/>
      <c r="BX239" s="35"/>
      <c r="BY239" s="35"/>
      <c r="BZ239" s="35"/>
      <c r="CA239" s="35"/>
      <c r="CB239" s="35"/>
      <c r="CC239" s="35"/>
      <c r="CD239" s="35"/>
      <c r="CE239" s="35"/>
      <c r="CF239" s="35"/>
      <c r="CG239" s="35"/>
      <c r="CH239" s="35"/>
      <c r="CI239" s="35"/>
      <c r="CJ239" s="35"/>
      <c r="CK239" s="35"/>
      <c r="CL239" s="35"/>
    </row>
    <row r="240" spans="1:126" customFormat="1">
      <c r="A240" s="30" t="s">
        <v>430</v>
      </c>
      <c r="L240" s="49"/>
      <c r="BB240" s="35"/>
      <c r="BD240" s="35"/>
      <c r="BF240" s="35"/>
      <c r="BG240" s="35"/>
      <c r="BH240" s="35"/>
      <c r="BI240" s="35"/>
      <c r="BJ240" s="35"/>
      <c r="BK240" s="35"/>
      <c r="BL240" s="35"/>
      <c r="BM240" s="35"/>
      <c r="BN240" s="35"/>
      <c r="BO240" s="35"/>
      <c r="BP240" s="35"/>
      <c r="BQ240" s="35"/>
      <c r="BR240" s="35"/>
      <c r="BS240" s="35"/>
      <c r="BT240" s="35"/>
      <c r="BU240" s="35"/>
      <c r="BV240" s="35"/>
      <c r="BW240" s="35"/>
      <c r="BX240" s="35"/>
      <c r="BY240" s="35"/>
      <c r="BZ240" s="35"/>
      <c r="CA240" s="35"/>
      <c r="CB240" s="35"/>
      <c r="CC240" s="35"/>
      <c r="CD240" s="35"/>
      <c r="CE240" s="35"/>
      <c r="CF240" s="35"/>
      <c r="CG240" s="35"/>
      <c r="CH240" s="35"/>
      <c r="CI240" s="35"/>
      <c r="CJ240" s="35"/>
      <c r="CK240" s="35"/>
      <c r="CL240" s="35"/>
    </row>
    <row r="241" spans="1:126" s="105" customFormat="1" ht="15.75" thickBot="1">
      <c r="A241" s="287" t="s">
        <v>404</v>
      </c>
      <c r="B241" s="261"/>
      <c r="C241" s="262"/>
      <c r="D241" s="262"/>
      <c r="E241" s="262"/>
      <c r="F241" s="262"/>
      <c r="G241" s="262"/>
      <c r="H241" s="262"/>
      <c r="I241" s="262"/>
      <c r="J241" s="263"/>
      <c r="K241" s="262"/>
      <c r="L241" s="264"/>
      <c r="M241" s="265"/>
      <c r="N241" s="266"/>
      <c r="O241" s="265"/>
      <c r="P241" s="266"/>
      <c r="Q241" s="265"/>
      <c r="R241" s="267">
        <f t="shared" ref="R241:BI241" si="56">R219+R238</f>
        <v>197201653</v>
      </c>
      <c r="S241" s="267">
        <f t="shared" si="56"/>
        <v>0</v>
      </c>
      <c r="T241" s="267">
        <f t="shared" si="56"/>
        <v>0</v>
      </c>
      <c r="U241" s="267">
        <f t="shared" si="56"/>
        <v>0</v>
      </c>
      <c r="V241" s="267">
        <f t="shared" si="56"/>
        <v>0</v>
      </c>
      <c r="W241" s="267">
        <f t="shared" si="56"/>
        <v>0</v>
      </c>
      <c r="X241" s="267">
        <f t="shared" si="56"/>
        <v>0</v>
      </c>
      <c r="Y241" s="267">
        <f t="shared" si="56"/>
        <v>0</v>
      </c>
      <c r="Z241" s="267">
        <f t="shared" si="56"/>
        <v>0</v>
      </c>
      <c r="AA241" s="267">
        <f t="shared" si="56"/>
        <v>0</v>
      </c>
      <c r="AB241" s="267">
        <f t="shared" si="56"/>
        <v>0</v>
      </c>
      <c r="AC241" s="267">
        <f t="shared" si="56"/>
        <v>0</v>
      </c>
      <c r="AD241" s="267">
        <f t="shared" si="56"/>
        <v>0</v>
      </c>
      <c r="AE241" s="267">
        <f t="shared" si="56"/>
        <v>0</v>
      </c>
      <c r="AF241" s="267">
        <f t="shared" si="56"/>
        <v>0</v>
      </c>
      <c r="AG241" s="267">
        <f t="shared" si="56"/>
        <v>0</v>
      </c>
      <c r="AH241" s="267">
        <f t="shared" si="56"/>
        <v>0</v>
      </c>
      <c r="AI241" s="267">
        <f t="shared" si="56"/>
        <v>0</v>
      </c>
      <c r="AJ241" s="267">
        <f t="shared" si="56"/>
        <v>13005.809999999998</v>
      </c>
      <c r="AK241" s="267">
        <f t="shared" si="56"/>
        <v>0</v>
      </c>
      <c r="AL241" s="267">
        <f t="shared" si="56"/>
        <v>93158714.489999995</v>
      </c>
      <c r="AM241" s="267">
        <f t="shared" si="56"/>
        <v>0</v>
      </c>
      <c r="AN241" s="267">
        <f t="shared" si="56"/>
        <v>715387.53999999992</v>
      </c>
      <c r="AO241" s="267">
        <f t="shared" si="56"/>
        <v>0</v>
      </c>
      <c r="AP241" s="267">
        <f t="shared" si="56"/>
        <v>2178269.8126763888</v>
      </c>
      <c r="AQ241" s="267">
        <f t="shared" si="56"/>
        <v>0</v>
      </c>
      <c r="AR241" s="267">
        <f t="shared" si="56"/>
        <v>7520808.7532297745</v>
      </c>
      <c r="AS241" s="267">
        <f t="shared" si="56"/>
        <v>0</v>
      </c>
      <c r="AT241" s="267">
        <f t="shared" si="56"/>
        <v>3026267.3252736586</v>
      </c>
      <c r="AU241" s="267">
        <f t="shared" si="56"/>
        <v>0</v>
      </c>
      <c r="AV241" s="267">
        <f t="shared" si="56"/>
        <v>8287387.2469411138</v>
      </c>
      <c r="AW241" s="267">
        <f t="shared" si="56"/>
        <v>0</v>
      </c>
      <c r="AX241" s="267">
        <f t="shared" si="56"/>
        <v>7624290.748063433</v>
      </c>
      <c r="AY241" s="267">
        <f t="shared" si="56"/>
        <v>0</v>
      </c>
      <c r="AZ241" s="267">
        <f t="shared" si="56"/>
        <v>11403531.526154332</v>
      </c>
      <c r="BA241" s="267">
        <f t="shared" si="56"/>
        <v>0</v>
      </c>
      <c r="BB241" s="267">
        <f t="shared" si="56"/>
        <v>12538176.930035932</v>
      </c>
      <c r="BC241" s="267">
        <f t="shared" si="56"/>
        <v>0</v>
      </c>
      <c r="BD241" s="267">
        <f t="shared" si="56"/>
        <v>5023594.6500000004</v>
      </c>
      <c r="BE241" s="267">
        <f t="shared" si="56"/>
        <v>0</v>
      </c>
      <c r="BF241" s="267">
        <f t="shared" si="56"/>
        <v>17362054.581292856</v>
      </c>
      <c r="BG241" s="267">
        <f t="shared" si="56"/>
        <v>0</v>
      </c>
      <c r="BH241" s="267">
        <f t="shared" si="56"/>
        <v>2172208.6</v>
      </c>
      <c r="BI241" s="267">
        <f t="shared" si="56"/>
        <v>0</v>
      </c>
      <c r="BJ241" s="267">
        <f>BJ219+BJ238</f>
        <v>-86760.26999999999</v>
      </c>
      <c r="BK241" s="267">
        <f t="shared" ref="BK241:BX241" si="57">BK219+BK238</f>
        <v>0</v>
      </c>
      <c r="BL241" s="267">
        <f t="shared" si="57"/>
        <v>2337732</v>
      </c>
      <c r="BM241" s="267">
        <f>BM219+BM238</f>
        <v>0</v>
      </c>
      <c r="BN241" s="267">
        <f>BN219+BN238</f>
        <v>55270</v>
      </c>
      <c r="BO241" s="267">
        <f t="shared" si="57"/>
        <v>0</v>
      </c>
      <c r="BP241" s="267">
        <f t="shared" si="57"/>
        <v>173329939.74366748</v>
      </c>
      <c r="BQ241" s="267">
        <f t="shared" si="57"/>
        <v>0</v>
      </c>
      <c r="BR241" s="267">
        <f t="shared" si="57"/>
        <v>2743085</v>
      </c>
      <c r="BS241" s="267">
        <f t="shared" si="57"/>
        <v>2030320</v>
      </c>
      <c r="BT241" s="267">
        <f t="shared" si="57"/>
        <v>32998703.639999997</v>
      </c>
      <c r="BU241" s="267">
        <f t="shared" si="57"/>
        <v>2030320</v>
      </c>
      <c r="BV241" s="267">
        <f t="shared" si="57"/>
        <v>204097803.38366747</v>
      </c>
      <c r="BW241" s="267">
        <f t="shared" si="57"/>
        <v>2030320</v>
      </c>
      <c r="BX241" s="267">
        <f t="shared" si="57"/>
        <v>-6896150.383667483</v>
      </c>
      <c r="BY241" s="267">
        <f>BY235+BY238</f>
        <v>0</v>
      </c>
      <c r="BZ241"/>
      <c r="CA241"/>
      <c r="CB241"/>
      <c r="CC241"/>
      <c r="CD241"/>
      <c r="CE241"/>
      <c r="CF241"/>
      <c r="CG241"/>
      <c r="CH241"/>
      <c r="CI241"/>
      <c r="CJ241"/>
      <c r="CK241"/>
      <c r="CL241"/>
      <c r="CM241"/>
      <c r="CN241"/>
      <c r="CO241"/>
      <c r="CP241"/>
      <c r="CQ241"/>
      <c r="CR241"/>
      <c r="CS241"/>
      <c r="CT241"/>
      <c r="CU241"/>
      <c r="CV241"/>
      <c r="CW241"/>
      <c r="CX241"/>
      <c r="CY241"/>
      <c r="CZ241"/>
      <c r="DA241"/>
      <c r="DB241"/>
      <c r="DC241"/>
      <c r="DD241"/>
      <c r="DE241"/>
      <c r="DF241"/>
      <c r="DG241"/>
      <c r="DH241"/>
      <c r="DI241"/>
      <c r="DJ241"/>
      <c r="DK241"/>
      <c r="DL241"/>
      <c r="DM241"/>
      <c r="DN241"/>
      <c r="DO241"/>
      <c r="DP241"/>
      <c r="DQ241"/>
      <c r="DR241"/>
      <c r="DS241"/>
      <c r="DT241"/>
      <c r="DU241"/>
      <c r="DV241"/>
    </row>
    <row r="242" spans="1:126" customFormat="1" ht="13.5" thickTop="1">
      <c r="A242" s="30"/>
      <c r="L242" s="49"/>
      <c r="BB242" s="35"/>
      <c r="BP242" s="248"/>
    </row>
    <row r="243" spans="1:126" customFormat="1">
      <c r="A243" s="30"/>
      <c r="L243" s="49"/>
      <c r="BB243" s="35"/>
      <c r="BP243" s="248"/>
    </row>
    <row r="244" spans="1:126" customFormat="1" hidden="1">
      <c r="A244" s="30"/>
      <c r="L244" s="49"/>
      <c r="BB244" s="35"/>
      <c r="BP244" s="248"/>
    </row>
    <row r="245" spans="1:126" customFormat="1" hidden="1">
      <c r="A245" s="30"/>
      <c r="L245" s="49"/>
      <c r="BB245" s="35"/>
      <c r="BF245" t="s">
        <v>421</v>
      </c>
      <c r="BN245" t="s">
        <v>448</v>
      </c>
      <c r="BP245" s="248">
        <v>169284873.69999999</v>
      </c>
    </row>
    <row r="246" spans="1:126" customFormat="1" hidden="1">
      <c r="A246" s="30"/>
      <c r="L246" s="49"/>
      <c r="AT246" s="247"/>
      <c r="BB246" s="35"/>
      <c r="BF246" t="s">
        <v>422</v>
      </c>
      <c r="BN246" t="s">
        <v>447</v>
      </c>
      <c r="BP246" s="248">
        <f>BP134</f>
        <v>1084341.1600000001</v>
      </c>
    </row>
    <row r="247" spans="1:126" customFormat="1" hidden="1">
      <c r="A247" s="30"/>
      <c r="AT247" s="247"/>
      <c r="BB247" s="35"/>
      <c r="BF247" t="s">
        <v>423</v>
      </c>
      <c r="BN247" t="s">
        <v>449</v>
      </c>
      <c r="BP247" s="248">
        <f>BP238</f>
        <v>2843357.39</v>
      </c>
    </row>
    <row r="248" spans="1:126" customFormat="1" hidden="1">
      <c r="A248" s="30"/>
      <c r="AT248" s="247"/>
      <c r="BB248" s="35"/>
      <c r="BF248" t="s">
        <v>423</v>
      </c>
      <c r="BN248" t="s">
        <v>83</v>
      </c>
      <c r="BP248" s="248">
        <f>BP142</f>
        <v>33710</v>
      </c>
      <c r="BR248" s="249"/>
    </row>
    <row r="249" spans="1:126" customFormat="1" hidden="1">
      <c r="A249" s="30"/>
      <c r="AT249" s="247"/>
      <c r="BB249" s="35"/>
      <c r="BF249" t="s">
        <v>424</v>
      </c>
      <c r="BN249" t="s">
        <v>452</v>
      </c>
      <c r="BP249" s="247">
        <f>BN241</f>
        <v>55270</v>
      </c>
    </row>
    <row r="250" spans="1:126" customFormat="1" hidden="1">
      <c r="A250" s="30"/>
      <c r="AT250" s="247"/>
      <c r="BB250" s="35"/>
      <c r="BN250" t="s">
        <v>454</v>
      </c>
      <c r="BP250" s="247">
        <v>6715</v>
      </c>
    </row>
    <row r="251" spans="1:126" customFormat="1" hidden="1">
      <c r="A251" s="30"/>
      <c r="BB251" s="35"/>
      <c r="BF251" t="s">
        <v>425</v>
      </c>
      <c r="BN251" t="s">
        <v>453</v>
      </c>
      <c r="BP251" s="247">
        <v>22627</v>
      </c>
    </row>
    <row r="252" spans="1:126" customFormat="1" hidden="1">
      <c r="A252" s="30"/>
      <c r="BF252" t="s">
        <v>266</v>
      </c>
      <c r="BP252" s="249"/>
    </row>
    <row r="253" spans="1:126" customFormat="1" hidden="1">
      <c r="A253" s="30"/>
      <c r="BF253" t="s">
        <v>429</v>
      </c>
      <c r="BN253" t="s">
        <v>75</v>
      </c>
      <c r="BP253" s="249">
        <f>SUM(BP245:BP252)</f>
        <v>173330894.24999997</v>
      </c>
    </row>
    <row r="254" spans="1:126" customFormat="1" hidden="1">
      <c r="A254" s="30"/>
      <c r="BF254" t="s">
        <v>426</v>
      </c>
      <c r="BP254" s="247"/>
    </row>
    <row r="255" spans="1:126" customFormat="1" hidden="1">
      <c r="A255" s="30"/>
      <c r="BF255" t="s">
        <v>427</v>
      </c>
      <c r="BN255" t="s">
        <v>450</v>
      </c>
      <c r="BP255" s="247">
        <f>BP241</f>
        <v>173329939.74366748</v>
      </c>
    </row>
    <row r="256" spans="1:126" customFormat="1" hidden="1">
      <c r="A256" s="30"/>
      <c r="BP256" s="247"/>
    </row>
    <row r="257" spans="1:68" customFormat="1" hidden="1">
      <c r="A257" s="30"/>
      <c r="BN257" t="s">
        <v>451</v>
      </c>
      <c r="BP257" s="249">
        <f>BP253-BP255</f>
        <v>954.5063324868679</v>
      </c>
    </row>
    <row r="258" spans="1:68" customFormat="1" hidden="1">
      <c r="A258" s="30"/>
      <c r="BF258" t="s">
        <v>420</v>
      </c>
      <c r="BP258" s="38"/>
    </row>
    <row r="259" spans="1:68" customFormat="1" hidden="1">
      <c r="A259" s="30"/>
      <c r="BP259" s="35"/>
    </row>
    <row r="260" spans="1:68" customFormat="1" hidden="1">
      <c r="A260" s="30"/>
    </row>
    <row r="261" spans="1:68" customFormat="1">
      <c r="A261" s="30"/>
      <c r="BP261" s="249"/>
    </row>
    <row r="262" spans="1:68" customFormat="1">
      <c r="A262" s="30"/>
    </row>
    <row r="263" spans="1:68" customFormat="1">
      <c r="A263" s="30"/>
    </row>
    <row r="264" spans="1:68" customFormat="1">
      <c r="A264" s="30"/>
    </row>
    <row r="265" spans="1:68" customFormat="1">
      <c r="A265" s="30"/>
    </row>
    <row r="266" spans="1:68" customFormat="1">
      <c r="A266" s="30"/>
    </row>
    <row r="267" spans="1:68" customFormat="1">
      <c r="A267" s="30"/>
    </row>
    <row r="268" spans="1:68" customFormat="1">
      <c r="A268" s="30"/>
    </row>
    <row r="269" spans="1:68" customFormat="1">
      <c r="A269" s="30"/>
    </row>
    <row r="270" spans="1:68" customFormat="1">
      <c r="A270" s="30"/>
    </row>
    <row r="271" spans="1:68" customFormat="1">
      <c r="A271" s="30"/>
    </row>
    <row r="272" spans="1:68" customFormat="1">
      <c r="A272" s="30"/>
    </row>
    <row r="273" spans="1:68" customFormat="1">
      <c r="A273" s="30"/>
    </row>
    <row r="274" spans="1:68" customFormat="1">
      <c r="A274" s="30"/>
    </row>
    <row r="275" spans="1:68" customFormat="1">
      <c r="A275" s="30"/>
    </row>
    <row r="276" spans="1:68" customFormat="1">
      <c r="A276" s="30"/>
    </row>
    <row r="277" spans="1:68" customFormat="1">
      <c r="A277" s="30"/>
    </row>
    <row r="278" spans="1:68" customFormat="1">
      <c r="A278" s="30"/>
    </row>
    <row r="279" spans="1:68" customFormat="1">
      <c r="A279" s="30"/>
    </row>
    <row r="280" spans="1:68">
      <c r="BP280" s="22"/>
    </row>
    <row r="281" spans="1:68">
      <c r="BP281" s="22"/>
    </row>
    <row r="282" spans="1:68">
      <c r="BP282" s="22"/>
    </row>
    <row r="283" spans="1:68">
      <c r="BP283" s="22"/>
    </row>
    <row r="284" spans="1:68">
      <c r="BP284" s="22"/>
    </row>
    <row r="285" spans="1:68">
      <c r="BP285" s="22"/>
    </row>
    <row r="286" spans="1:68">
      <c r="BP286" s="22"/>
    </row>
    <row r="287" spans="1:68">
      <c r="BP287" s="22"/>
    </row>
    <row r="288" spans="1:68">
      <c r="BP288" s="22"/>
    </row>
    <row r="289" spans="68:68">
      <c r="BP289" s="22"/>
    </row>
    <row r="290" spans="68:68">
      <c r="BP290" s="22"/>
    </row>
    <row r="291" spans="68:68">
      <c r="BP291" s="22"/>
    </row>
    <row r="292" spans="68:68">
      <c r="BP292" s="22"/>
    </row>
    <row r="293" spans="68:68">
      <c r="BP293" s="22"/>
    </row>
    <row r="294" spans="68:68">
      <c r="BP294" s="22"/>
    </row>
    <row r="295" spans="68:68">
      <c r="BP295" s="22"/>
    </row>
    <row r="296" spans="68:68">
      <c r="BP296" s="22"/>
    </row>
    <row r="297" spans="68:68">
      <c r="BP297" s="22"/>
    </row>
    <row r="298" spans="68:68">
      <c r="BP298" s="22"/>
    </row>
    <row r="299" spans="68:68">
      <c r="BP299" s="22"/>
    </row>
  </sheetData>
  <printOptions horizontalCentered="1"/>
  <pageMargins left="0.18" right="0" top="0.42" bottom="0.33" header="0.4" footer="0.19"/>
  <pageSetup scale="37" fitToHeight="2" orientation="landscape" horizontalDpi="300" verticalDpi="300" r:id="rId1"/>
  <headerFooter alignWithMargins="0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DT189"/>
  <sheetViews>
    <sheetView zoomScale="80" zoomScaleNormal="66" workbookViewId="0">
      <selection activeCell="BN5" sqref="BN5"/>
    </sheetView>
  </sheetViews>
  <sheetFormatPr defaultRowHeight="12.75"/>
  <cols>
    <col min="1" max="1" width="4.7109375" style="11" customWidth="1"/>
    <col min="2" max="2" width="55.140625" style="4" customWidth="1"/>
    <col min="3" max="3" width="9.28515625" style="4" hidden="1" customWidth="1"/>
    <col min="4" max="4" width="0.85546875" style="4" hidden="1" customWidth="1"/>
    <col min="5" max="5" width="16.85546875" style="5" hidden="1" customWidth="1"/>
    <col min="6" max="6" width="0.85546875" style="4" hidden="1" customWidth="1"/>
    <col min="7" max="7" width="17.140625" style="5" hidden="1" customWidth="1"/>
    <col min="8" max="8" width="0.85546875" style="4" hidden="1" customWidth="1"/>
    <col min="9" max="10" width="11.140625" style="5" hidden="1" customWidth="1"/>
    <col min="11" max="11" width="0.85546875" style="4" hidden="1" customWidth="1"/>
    <col min="12" max="12" width="12" style="147" hidden="1" customWidth="1"/>
    <col min="13" max="13" width="0.85546875" style="4" hidden="1" customWidth="1"/>
    <col min="14" max="14" width="19.42578125" style="6" hidden="1" customWidth="1"/>
    <col min="15" max="15" width="0.85546875" style="4" hidden="1" customWidth="1"/>
    <col min="16" max="16" width="16.28515625" style="6" hidden="1" customWidth="1"/>
    <col min="17" max="17" width="0.85546875" style="4" hidden="1" customWidth="1"/>
    <col min="18" max="18" width="21" style="6" customWidth="1"/>
    <col min="19" max="19" width="5.5703125" style="4" hidden="1" customWidth="1"/>
    <col min="20" max="20" width="19.5703125" style="65" hidden="1" customWidth="1"/>
    <col min="21" max="21" width="0.85546875" style="97" hidden="1" customWidth="1"/>
    <col min="22" max="22" width="17.85546875" style="65" hidden="1" customWidth="1"/>
    <col min="23" max="23" width="0.85546875" style="6" hidden="1" customWidth="1"/>
    <col min="24" max="24" width="17.85546875" style="65" hidden="1" customWidth="1"/>
    <col min="25" max="25" width="0.85546875" style="6" hidden="1" customWidth="1"/>
    <col min="26" max="26" width="17.85546875" style="65" hidden="1" customWidth="1"/>
    <col min="27" max="27" width="0.85546875" style="6" hidden="1" customWidth="1"/>
    <col min="28" max="28" width="18" style="65" hidden="1" customWidth="1"/>
    <col min="29" max="29" width="0.85546875" style="6" hidden="1" customWidth="1"/>
    <col min="30" max="30" width="18.28515625" style="65" hidden="1" customWidth="1"/>
    <col min="31" max="31" width="0.85546875" style="6" hidden="1" customWidth="1"/>
    <col min="32" max="32" width="17.85546875" style="6" hidden="1" customWidth="1"/>
    <col min="33" max="33" width="0.85546875" style="6" hidden="1" customWidth="1"/>
    <col min="34" max="34" width="17.28515625" style="6" hidden="1" customWidth="1"/>
    <col min="35" max="35" width="1" style="6" hidden="1" customWidth="1"/>
    <col min="36" max="36" width="17.85546875" style="6" hidden="1" customWidth="1"/>
    <col min="37" max="37" width="1.42578125" style="6" hidden="1" customWidth="1"/>
    <col min="38" max="38" width="18.5703125" style="6" hidden="1" customWidth="1"/>
    <col min="39" max="39" width="2" style="6" hidden="1" customWidth="1"/>
    <col min="40" max="40" width="18.5703125" style="6" hidden="1" customWidth="1"/>
    <col min="41" max="41" width="1.5703125" style="6" hidden="1" customWidth="1"/>
    <col min="42" max="42" width="17.85546875" style="6" hidden="1" customWidth="1"/>
    <col min="43" max="43" width="2.7109375" style="6" hidden="1" customWidth="1"/>
    <col min="44" max="44" width="17.85546875" style="6" hidden="1" customWidth="1"/>
    <col min="45" max="45" width="0.85546875" style="6" hidden="1" customWidth="1"/>
    <col min="46" max="46" width="17.85546875" style="6" hidden="1" customWidth="1"/>
    <col min="47" max="47" width="0.85546875" style="6" hidden="1" customWidth="1"/>
    <col min="48" max="48" width="17.28515625" style="6" hidden="1" customWidth="1"/>
    <col min="49" max="49" width="0.85546875" style="6" customWidth="1"/>
    <col min="50" max="50" width="17.28515625" style="6" hidden="1" customWidth="1"/>
    <col min="51" max="51" width="0.85546875" style="6" hidden="1" customWidth="1"/>
    <col min="52" max="52" width="17.85546875" style="6" hidden="1" customWidth="1"/>
    <col min="53" max="53" width="0.85546875" style="6" hidden="1" customWidth="1"/>
    <col min="54" max="54" width="17.85546875" style="6" hidden="1" customWidth="1"/>
    <col min="55" max="55" width="0.85546875" style="6" hidden="1" customWidth="1"/>
    <col min="56" max="56" width="17.85546875" style="6" hidden="1" customWidth="1"/>
    <col min="57" max="57" width="0.85546875" style="6" hidden="1" customWidth="1"/>
    <col min="58" max="58" width="17.85546875" style="6" hidden="1" customWidth="1"/>
    <col min="59" max="59" width="0.85546875" style="6" hidden="1" customWidth="1"/>
    <col min="60" max="60" width="0.140625" style="6" hidden="1" customWidth="1"/>
    <col min="61" max="61" width="5.5703125" style="6" hidden="1" customWidth="1"/>
    <col min="62" max="62" width="18.5703125" style="65" hidden="1" customWidth="1"/>
    <col min="63" max="63" width="1.5703125" style="6" customWidth="1"/>
    <col min="64" max="64" width="21.5703125" style="65" hidden="1" customWidth="1"/>
    <col min="65" max="65" width="2.140625" style="4" customWidth="1"/>
    <col min="66" max="66" width="20.85546875" style="6" customWidth="1"/>
    <col min="67" max="67" width="0.85546875" style="4" customWidth="1"/>
    <col min="68" max="68" width="19.140625" style="65" customWidth="1"/>
    <col min="69" max="69" width="0.85546875" style="4" customWidth="1"/>
    <col min="70" max="70" width="24.7109375" style="6" bestFit="1" customWidth="1"/>
    <col min="71" max="71" width="1.7109375" style="6" customWidth="1"/>
    <col min="72" max="72" width="20.85546875" style="6" customWidth="1"/>
    <col min="73" max="73" width="1.7109375" style="6" customWidth="1"/>
    <col min="74" max="74" width="15.85546875" style="6" customWidth="1"/>
    <col min="75" max="75" width="0.85546875" style="4" customWidth="1"/>
    <col min="76" max="76" width="75.85546875" style="4" customWidth="1"/>
    <col min="77" max="16384" width="9.140625" style="4"/>
  </cols>
  <sheetData>
    <row r="1" spans="1:76" s="18" customFormat="1" ht="15.75">
      <c r="A1" s="277" t="str">
        <f>+Summary!A1</f>
        <v>ENRON CAPITAL &amp; TRADE RESOURCES</v>
      </c>
      <c r="B1" s="3"/>
      <c r="C1" s="119"/>
      <c r="D1" s="122"/>
      <c r="E1" s="123"/>
      <c r="F1" s="122"/>
      <c r="G1" s="123"/>
      <c r="H1" s="122"/>
      <c r="I1" s="123"/>
      <c r="J1" s="123"/>
      <c r="K1" s="122"/>
      <c r="L1" s="134"/>
      <c r="M1" s="122"/>
      <c r="N1" s="124"/>
      <c r="O1" s="122"/>
      <c r="P1" s="124"/>
      <c r="R1" s="68"/>
      <c r="T1" s="81"/>
      <c r="U1" s="96"/>
      <c r="V1" s="81"/>
      <c r="W1" s="68"/>
      <c r="X1" s="81"/>
      <c r="Y1" s="68"/>
      <c r="Z1" s="81"/>
      <c r="AA1" s="68"/>
      <c r="AB1" s="81"/>
      <c r="AC1" s="68"/>
      <c r="AD1" s="81"/>
      <c r="AE1" s="68"/>
      <c r="AF1" s="68"/>
      <c r="AG1" s="68"/>
      <c r="AH1" s="68"/>
      <c r="AI1" s="68"/>
      <c r="AJ1" s="68"/>
      <c r="AK1" s="68"/>
      <c r="AL1" s="68"/>
      <c r="AM1" s="68"/>
      <c r="AN1" s="68"/>
      <c r="AO1" s="68"/>
      <c r="AP1" s="68"/>
      <c r="AQ1" s="68"/>
      <c r="AR1" s="68"/>
      <c r="AS1" s="68"/>
      <c r="AT1" s="68"/>
      <c r="AU1" s="68"/>
      <c r="AV1" s="68"/>
      <c r="AW1" s="68"/>
      <c r="AX1" s="68"/>
      <c r="AY1" s="68"/>
      <c r="AZ1" s="68"/>
      <c r="BA1" s="68"/>
      <c r="BB1" s="68"/>
      <c r="BC1" s="68"/>
      <c r="BD1" s="68"/>
      <c r="BE1" s="68"/>
      <c r="BF1" s="68"/>
      <c r="BG1" s="68"/>
      <c r="BH1" s="68"/>
      <c r="BI1" s="68"/>
      <c r="BJ1" s="81"/>
      <c r="BK1" s="68"/>
      <c r="BL1" s="81"/>
      <c r="BN1" s="78"/>
      <c r="BP1" s="81"/>
      <c r="BR1" s="78"/>
      <c r="BS1" s="78"/>
      <c r="BT1" s="78"/>
      <c r="BU1" s="78"/>
      <c r="BV1" s="68"/>
    </row>
    <row r="2" spans="1:76" s="18" customFormat="1" ht="15.75">
      <c r="A2" s="277" t="str">
        <f>+Summary!A2</f>
        <v>Energy Services</v>
      </c>
      <c r="B2" s="3"/>
      <c r="C2" s="119"/>
      <c r="D2" s="122"/>
      <c r="E2" s="123"/>
      <c r="F2" s="122"/>
      <c r="G2" s="123"/>
      <c r="H2" s="122"/>
      <c r="I2" s="123"/>
      <c r="J2" s="123"/>
      <c r="K2" s="122"/>
      <c r="L2" s="134"/>
      <c r="M2" s="122"/>
      <c r="N2" s="124"/>
      <c r="O2" s="122"/>
      <c r="P2" s="124"/>
      <c r="R2" s="68"/>
      <c r="T2" s="81"/>
      <c r="U2" s="96"/>
      <c r="V2" s="81"/>
      <c r="W2" s="68"/>
      <c r="X2" s="81"/>
      <c r="Y2" s="68"/>
      <c r="Z2" s="81"/>
      <c r="AA2" s="68"/>
      <c r="AB2" s="81"/>
      <c r="AC2" s="68"/>
      <c r="AD2" s="81"/>
      <c r="AE2" s="68"/>
      <c r="AF2" s="68"/>
      <c r="AG2" s="68"/>
      <c r="AH2" s="68"/>
      <c r="AI2" s="68"/>
      <c r="AJ2" s="68"/>
      <c r="AK2" s="68"/>
      <c r="AL2" s="68"/>
      <c r="AM2" s="68"/>
      <c r="AN2" s="68"/>
      <c r="AO2" s="68"/>
      <c r="AP2" s="68"/>
      <c r="AQ2" s="68"/>
      <c r="AR2" s="68"/>
      <c r="AS2" s="68"/>
      <c r="AT2" s="68"/>
      <c r="AU2" s="68"/>
      <c r="AV2" s="68"/>
      <c r="AW2" s="68"/>
      <c r="AX2" s="68"/>
      <c r="AY2" s="68"/>
      <c r="AZ2" s="68"/>
      <c r="BA2" s="68"/>
      <c r="BB2" s="68"/>
      <c r="BC2" s="68"/>
      <c r="BD2" s="68"/>
      <c r="BE2" s="68"/>
      <c r="BF2" s="68"/>
      <c r="BG2" s="68"/>
      <c r="BH2" s="68"/>
      <c r="BI2" s="68"/>
      <c r="BJ2" s="81"/>
      <c r="BK2" s="68"/>
      <c r="BL2" s="81"/>
      <c r="BN2" s="68"/>
      <c r="BP2" s="81"/>
      <c r="BR2" s="68"/>
      <c r="BS2" s="68"/>
      <c r="BT2" s="68"/>
      <c r="BU2" s="68"/>
      <c r="BV2" s="106" t="str">
        <f ca="1">CELL("filename")</f>
        <v>O:\Fin_Ops\Engysvc\PowerPlants\2000 Plants\Weekly Report\[2000 Weekly Report - 102300.xls]Summary</v>
      </c>
    </row>
    <row r="3" spans="1:76" s="18" customFormat="1" ht="15.75">
      <c r="A3" s="278" t="s">
        <v>194</v>
      </c>
      <c r="B3" s="3"/>
      <c r="C3" s="119"/>
      <c r="D3" s="122"/>
      <c r="E3" s="123"/>
      <c r="F3" s="122"/>
      <c r="G3" s="123"/>
      <c r="H3" s="122"/>
      <c r="I3" s="123"/>
      <c r="J3" s="123"/>
      <c r="K3" s="122"/>
      <c r="L3" s="135"/>
      <c r="M3" s="122"/>
      <c r="N3" s="125">
        <v>510</v>
      </c>
      <c r="O3" s="122"/>
      <c r="P3" s="126" t="s">
        <v>47</v>
      </c>
      <c r="R3" s="68"/>
      <c r="T3" s="81"/>
      <c r="U3" s="96"/>
      <c r="V3" s="81"/>
      <c r="W3" s="68"/>
      <c r="X3" s="81"/>
      <c r="Y3" s="68"/>
      <c r="Z3" s="81"/>
      <c r="AA3" s="68"/>
      <c r="AB3" s="81"/>
      <c r="AC3" s="68"/>
      <c r="AD3" s="81"/>
      <c r="AE3" s="68"/>
      <c r="AF3" s="68"/>
      <c r="AG3" s="68"/>
      <c r="AH3" s="68"/>
      <c r="AI3" s="68"/>
      <c r="AJ3" s="68"/>
      <c r="AK3" s="68"/>
      <c r="AL3" s="68"/>
      <c r="AM3" s="68"/>
      <c r="AN3" s="68"/>
      <c r="AO3" s="68"/>
      <c r="AP3" s="68"/>
      <c r="AQ3" s="68"/>
      <c r="AR3" s="68"/>
      <c r="AS3" s="68"/>
      <c r="AT3" s="68"/>
      <c r="AU3" s="68"/>
      <c r="AV3" s="68"/>
      <c r="AW3" s="68"/>
      <c r="AX3" s="68"/>
      <c r="AY3" s="68"/>
      <c r="AZ3" s="68"/>
      <c r="BA3" s="68"/>
      <c r="BB3" s="68"/>
      <c r="BC3" s="68"/>
      <c r="BD3" s="68"/>
      <c r="BE3" s="68"/>
      <c r="BF3" s="68"/>
      <c r="BG3" s="68"/>
      <c r="BH3" s="68"/>
      <c r="BI3" s="68"/>
      <c r="BJ3" s="81"/>
      <c r="BK3" s="68"/>
      <c r="BL3" s="81"/>
      <c r="BN3" s="23"/>
      <c r="BP3" s="81"/>
      <c r="BR3" s="23">
        <f ca="1">NOW()</f>
        <v>36822.429216898148</v>
      </c>
      <c r="BT3" s="23"/>
      <c r="BV3" s="78" t="str">
        <f>Summary!A5</f>
        <v>Revision # 66</v>
      </c>
      <c r="BX3" s="18" t="str">
        <f>Summary!A5</f>
        <v>Revision # 66</v>
      </c>
    </row>
    <row r="4" spans="1:76" s="18" customFormat="1" ht="15.75">
      <c r="A4" s="279"/>
      <c r="B4" s="19">
        <f>Summary!C15</f>
        <v>470</v>
      </c>
      <c r="C4"/>
      <c r="G4" s="67"/>
      <c r="J4" s="268" t="s">
        <v>47</v>
      </c>
      <c r="L4" s="74"/>
      <c r="N4" s="69"/>
      <c r="O4" s="128" t="s">
        <v>407</v>
      </c>
      <c r="P4" s="69"/>
      <c r="R4" s="68"/>
      <c r="T4" s="81"/>
      <c r="U4" s="96"/>
      <c r="V4" s="82" t="s">
        <v>122</v>
      </c>
      <c r="W4" s="69"/>
      <c r="X4" s="82" t="s">
        <v>122</v>
      </c>
      <c r="Y4" s="69"/>
      <c r="Z4" s="82" t="s">
        <v>122</v>
      </c>
      <c r="AA4" s="69"/>
      <c r="AB4" s="82" t="s">
        <v>122</v>
      </c>
      <c r="AC4" s="69"/>
      <c r="AD4" s="82" t="s">
        <v>122</v>
      </c>
      <c r="AE4" s="69"/>
      <c r="AF4" s="82" t="s">
        <v>122</v>
      </c>
      <c r="AG4" s="69"/>
      <c r="AH4" s="82" t="s">
        <v>122</v>
      </c>
      <c r="AI4" s="69"/>
      <c r="AJ4" s="82" t="s">
        <v>122</v>
      </c>
      <c r="AK4" s="69"/>
      <c r="AL4" s="82" t="s">
        <v>122</v>
      </c>
      <c r="AM4" s="69"/>
      <c r="AN4" s="82" t="s">
        <v>122</v>
      </c>
      <c r="AO4" s="69"/>
      <c r="AP4" s="82" t="s">
        <v>122</v>
      </c>
      <c r="AQ4" s="69"/>
      <c r="AR4" s="82" t="s">
        <v>122</v>
      </c>
      <c r="AS4" s="69"/>
      <c r="AT4" s="82" t="s">
        <v>122</v>
      </c>
      <c r="AU4" s="82"/>
      <c r="AV4" s="82" t="s">
        <v>122</v>
      </c>
      <c r="AW4" s="82"/>
      <c r="AX4" s="82" t="s">
        <v>122</v>
      </c>
      <c r="AY4" s="82"/>
      <c r="AZ4" s="82" t="s">
        <v>122</v>
      </c>
      <c r="BA4" s="82"/>
      <c r="BB4" s="82" t="s">
        <v>122</v>
      </c>
      <c r="BC4" s="82"/>
      <c r="BD4" s="82" t="s">
        <v>122</v>
      </c>
      <c r="BE4" s="82"/>
      <c r="BF4" s="82" t="s">
        <v>122</v>
      </c>
      <c r="BG4" s="82"/>
      <c r="BH4" s="82" t="s">
        <v>122</v>
      </c>
      <c r="BI4" s="82"/>
      <c r="BJ4" s="82" t="s">
        <v>122</v>
      </c>
      <c r="BK4" s="82"/>
      <c r="BL4" s="82" t="s">
        <v>122</v>
      </c>
      <c r="BN4" s="71"/>
      <c r="BP4" s="70" t="s">
        <v>129</v>
      </c>
      <c r="BR4" s="71"/>
      <c r="BT4" s="71"/>
      <c r="BV4" s="71"/>
    </row>
    <row r="5" spans="1:76" s="18" customFormat="1" ht="15.75">
      <c r="A5" s="280" t="str">
        <f>Summary!A5</f>
        <v>Revision # 66</v>
      </c>
      <c r="G5" s="67"/>
      <c r="J5" s="67"/>
      <c r="L5" s="136" t="s">
        <v>201</v>
      </c>
      <c r="N5" s="70" t="s">
        <v>0</v>
      </c>
      <c r="O5" s="128"/>
      <c r="P5" s="70" t="s">
        <v>130</v>
      </c>
      <c r="R5" s="71" t="s">
        <v>0</v>
      </c>
      <c r="T5" s="82" t="s">
        <v>44</v>
      </c>
      <c r="U5" s="96"/>
      <c r="V5" s="82" t="s">
        <v>123</v>
      </c>
      <c r="W5" s="69"/>
      <c r="X5" s="82" t="s">
        <v>123</v>
      </c>
      <c r="Y5" s="69"/>
      <c r="Z5" s="82" t="s">
        <v>123</v>
      </c>
      <c r="AA5" s="69"/>
      <c r="AB5" s="82" t="s">
        <v>123</v>
      </c>
      <c r="AC5" s="69"/>
      <c r="AD5" s="82" t="s">
        <v>123</v>
      </c>
      <c r="AE5" s="69"/>
      <c r="AF5" s="82" t="s">
        <v>123</v>
      </c>
      <c r="AG5" s="69"/>
      <c r="AH5" s="82" t="s">
        <v>123</v>
      </c>
      <c r="AI5" s="69"/>
      <c r="AJ5" s="82" t="s">
        <v>123</v>
      </c>
      <c r="AK5" s="69"/>
      <c r="AL5" s="82" t="s">
        <v>123</v>
      </c>
      <c r="AM5" s="69"/>
      <c r="AN5" s="82" t="s">
        <v>123</v>
      </c>
      <c r="AO5" s="69"/>
      <c r="AP5" s="82" t="s">
        <v>123</v>
      </c>
      <c r="AQ5" s="69"/>
      <c r="AR5" s="82" t="s">
        <v>123</v>
      </c>
      <c r="AS5" s="69"/>
      <c r="AT5" s="82" t="s">
        <v>123</v>
      </c>
      <c r="AU5" s="82"/>
      <c r="AV5" s="82" t="s">
        <v>123</v>
      </c>
      <c r="AW5" s="82"/>
      <c r="AX5" s="82" t="s">
        <v>123</v>
      </c>
      <c r="AY5" s="82"/>
      <c r="AZ5" s="82" t="s">
        <v>123</v>
      </c>
      <c r="BA5" s="82"/>
      <c r="BB5" s="82" t="s">
        <v>123</v>
      </c>
      <c r="BC5" s="82"/>
      <c r="BD5" s="82" t="s">
        <v>123</v>
      </c>
      <c r="BE5" s="82"/>
      <c r="BF5" s="82" t="s">
        <v>123</v>
      </c>
      <c r="BG5" s="82"/>
      <c r="BH5" s="82" t="s">
        <v>123</v>
      </c>
      <c r="BI5" s="82"/>
      <c r="BJ5" s="82" t="s">
        <v>123</v>
      </c>
      <c r="BK5" s="82"/>
      <c r="BL5" s="82" t="s">
        <v>123</v>
      </c>
      <c r="BN5" s="71" t="s">
        <v>44</v>
      </c>
      <c r="BP5" s="70" t="s">
        <v>130</v>
      </c>
      <c r="BR5" s="71" t="s">
        <v>42</v>
      </c>
      <c r="BT5" s="71" t="s">
        <v>144</v>
      </c>
      <c r="BV5" s="71"/>
    </row>
    <row r="6" spans="1:76" s="18" customFormat="1" ht="15.75">
      <c r="A6" s="280"/>
      <c r="C6" s="76" t="s">
        <v>173</v>
      </c>
      <c r="E6" s="76" t="s">
        <v>1</v>
      </c>
      <c r="G6" s="76" t="s">
        <v>2</v>
      </c>
      <c r="I6" s="76" t="s">
        <v>3</v>
      </c>
      <c r="J6" s="152"/>
      <c r="L6" s="73" t="s">
        <v>202</v>
      </c>
      <c r="N6" s="129" t="s">
        <v>186</v>
      </c>
      <c r="O6" s="128"/>
      <c r="P6" s="129" t="s">
        <v>131</v>
      </c>
      <c r="R6" s="72" t="s">
        <v>43</v>
      </c>
      <c r="T6" s="83">
        <v>36160</v>
      </c>
      <c r="U6" s="96"/>
      <c r="V6" s="83">
        <v>36191</v>
      </c>
      <c r="W6" s="74"/>
      <c r="X6" s="83">
        <v>36219</v>
      </c>
      <c r="Y6" s="74"/>
      <c r="Z6" s="83">
        <v>36250</v>
      </c>
      <c r="AA6" s="74"/>
      <c r="AB6" s="83">
        <v>36280</v>
      </c>
      <c r="AC6" s="74"/>
      <c r="AD6" s="83">
        <v>36311</v>
      </c>
      <c r="AE6" s="74"/>
      <c r="AF6" s="83">
        <v>36341</v>
      </c>
      <c r="AG6" s="74"/>
      <c r="AH6" s="83">
        <v>36372</v>
      </c>
      <c r="AI6" s="74"/>
      <c r="AJ6" s="83">
        <v>36403</v>
      </c>
      <c r="AK6" s="74"/>
      <c r="AL6" s="83">
        <v>36433</v>
      </c>
      <c r="AM6" s="74"/>
      <c r="AN6" s="83">
        <v>36464</v>
      </c>
      <c r="AO6" s="74"/>
      <c r="AP6" s="83">
        <v>36494</v>
      </c>
      <c r="AQ6" s="74"/>
      <c r="AR6" s="83">
        <v>36525</v>
      </c>
      <c r="AS6" s="74"/>
      <c r="AT6" s="83">
        <v>36556</v>
      </c>
      <c r="AU6" s="127"/>
      <c r="AV6" s="83">
        <v>36585</v>
      </c>
      <c r="AW6" s="127"/>
      <c r="AX6" s="83">
        <v>36616</v>
      </c>
      <c r="AY6" s="127"/>
      <c r="AZ6" s="83">
        <v>36646</v>
      </c>
      <c r="BA6" s="127"/>
      <c r="BB6" s="83">
        <v>36677</v>
      </c>
      <c r="BC6" s="127"/>
      <c r="BD6" s="83">
        <v>36707</v>
      </c>
      <c r="BE6" s="127"/>
      <c r="BF6" s="83">
        <v>36738</v>
      </c>
      <c r="BG6" s="127"/>
      <c r="BH6" s="83">
        <v>36769</v>
      </c>
      <c r="BI6" s="127"/>
      <c r="BJ6" s="83">
        <v>36799</v>
      </c>
      <c r="BK6" s="127"/>
      <c r="BL6" s="83">
        <v>36830</v>
      </c>
      <c r="BN6" s="75" t="s">
        <v>126</v>
      </c>
      <c r="BP6" s="73" t="s">
        <v>131</v>
      </c>
      <c r="BR6" s="75" t="s">
        <v>38</v>
      </c>
      <c r="BT6" s="75" t="s">
        <v>145</v>
      </c>
      <c r="BV6" s="75" t="s">
        <v>39</v>
      </c>
      <c r="BX6" s="75" t="s">
        <v>4</v>
      </c>
    </row>
    <row r="7" spans="1:76" s="18" customFormat="1" ht="15.75">
      <c r="A7" s="280"/>
      <c r="B7" s="1"/>
      <c r="C7" s="2"/>
      <c r="G7" s="67"/>
      <c r="J7" s="67"/>
      <c r="L7" s="137"/>
      <c r="N7" s="82" t="e">
        <f>+Summary!#REF!</f>
        <v>#REF!</v>
      </c>
      <c r="O7" s="128"/>
      <c r="P7" s="69"/>
      <c r="R7" s="82" t="str">
        <f>+Summary!E9</f>
        <v>as of 7/22/99</v>
      </c>
      <c r="T7" s="82" t="str">
        <f>+Summary!$O$4</f>
        <v xml:space="preserve"> As of 10/20/00</v>
      </c>
      <c r="U7" s="96"/>
      <c r="V7" s="82" t="str">
        <f>+Summary!$O$4</f>
        <v xml:space="preserve"> As of 10/20/00</v>
      </c>
      <c r="W7" s="69"/>
      <c r="X7" s="82" t="str">
        <f>+Summary!$O$4</f>
        <v xml:space="preserve"> As of 10/20/00</v>
      </c>
      <c r="Y7" s="69"/>
      <c r="Z7" s="82" t="str">
        <f>+Summary!$O$4</f>
        <v xml:space="preserve"> As of 10/20/00</v>
      </c>
      <c r="AA7" s="69"/>
      <c r="AB7" s="82" t="str">
        <f>+Summary!$O$4</f>
        <v xml:space="preserve"> As of 10/20/00</v>
      </c>
      <c r="AC7" s="69"/>
      <c r="AD7" s="82" t="str">
        <f>+Summary!$O$4</f>
        <v xml:space="preserve"> As of 10/20/00</v>
      </c>
      <c r="AE7" s="69"/>
      <c r="AF7" s="82" t="str">
        <f>+Summary!$O$4</f>
        <v xml:space="preserve"> As of 10/20/00</v>
      </c>
      <c r="AG7" s="69"/>
      <c r="AH7" s="82" t="str">
        <f>+Summary!$O$4</f>
        <v xml:space="preserve"> As of 10/20/00</v>
      </c>
      <c r="AI7" s="69"/>
      <c r="AJ7" s="82" t="str">
        <f>+Summary!$O$4</f>
        <v xml:space="preserve"> As of 10/20/00</v>
      </c>
      <c r="AK7" s="69"/>
      <c r="AL7" s="82" t="str">
        <f>+Summary!$O$4</f>
        <v xml:space="preserve"> As of 10/20/00</v>
      </c>
      <c r="AM7" s="69"/>
      <c r="AN7" s="82" t="str">
        <f>+Summary!$O$4</f>
        <v xml:space="preserve"> As of 10/20/00</v>
      </c>
      <c r="AO7" s="69"/>
      <c r="AP7" s="82" t="str">
        <f>+Summary!$O$4</f>
        <v xml:space="preserve"> As of 10/20/00</v>
      </c>
      <c r="AQ7" s="69"/>
      <c r="AR7" s="82" t="str">
        <f>+Summary!$O$4</f>
        <v xml:space="preserve"> As of 10/20/00</v>
      </c>
      <c r="AS7" s="69"/>
      <c r="AT7" s="82" t="str">
        <f>+Summary!$O$4</f>
        <v xml:space="preserve"> As of 10/20/00</v>
      </c>
      <c r="AU7" s="82"/>
      <c r="AV7" s="82" t="str">
        <f>+Summary!$O$4</f>
        <v xml:space="preserve"> As of 10/20/00</v>
      </c>
      <c r="AW7" s="82"/>
      <c r="AX7" s="82" t="str">
        <f>+Summary!$O$4</f>
        <v xml:space="preserve"> As of 10/20/00</v>
      </c>
      <c r="AY7" s="82"/>
      <c r="AZ7" s="82" t="str">
        <f>+Summary!$O$4</f>
        <v xml:space="preserve"> As of 10/20/00</v>
      </c>
      <c r="BA7" s="82"/>
      <c r="BB7" s="82" t="str">
        <f>+Summary!$O$4</f>
        <v xml:space="preserve"> As of 10/20/00</v>
      </c>
      <c r="BC7" s="82"/>
      <c r="BD7" s="82" t="str">
        <f>+Summary!$O$4</f>
        <v xml:space="preserve"> As of 10/20/00</v>
      </c>
      <c r="BE7" s="82"/>
      <c r="BF7" s="82" t="str">
        <f>+Summary!$O$4</f>
        <v xml:space="preserve"> As of 10/20/00</v>
      </c>
      <c r="BG7" s="82"/>
      <c r="BH7" s="82" t="str">
        <f>+Summary!$O$4</f>
        <v xml:space="preserve"> As of 10/20/00</v>
      </c>
      <c r="BI7" s="82"/>
      <c r="BJ7" s="82" t="str">
        <f>+Summary!$O$4</f>
        <v xml:space="preserve"> As of 10/20/00</v>
      </c>
      <c r="BK7" s="82"/>
      <c r="BL7" s="82" t="str">
        <f>+Summary!$O$4</f>
        <v xml:space="preserve"> As of 10/20/00</v>
      </c>
      <c r="BN7" s="71" t="str">
        <f>+Summary!$O$4</f>
        <v xml:space="preserve"> As of 10/20/00</v>
      </c>
      <c r="BP7" s="64" t="str">
        <f>+Summary!$O$4</f>
        <v xml:space="preserve"> As of 10/20/00</v>
      </c>
      <c r="BR7" s="71"/>
      <c r="BT7" s="71"/>
      <c r="BV7" s="71"/>
    </row>
    <row r="8" spans="1:76">
      <c r="A8" s="58" t="s">
        <v>5</v>
      </c>
      <c r="B8" s="17"/>
      <c r="C8" s="55"/>
      <c r="E8" s="4"/>
      <c r="G8" s="4"/>
      <c r="I8" s="4"/>
      <c r="L8" s="138"/>
      <c r="M8" s="6"/>
      <c r="O8" s="6"/>
      <c r="Q8" s="6"/>
      <c r="S8" s="6"/>
      <c r="T8" s="22"/>
      <c r="U8" s="6"/>
      <c r="V8" s="22"/>
      <c r="X8" s="22"/>
      <c r="Z8" s="22"/>
      <c r="AB8" s="22"/>
      <c r="AD8" s="22"/>
      <c r="AF8" s="22"/>
      <c r="AH8" s="22"/>
      <c r="AJ8" s="22"/>
      <c r="AL8" s="22"/>
      <c r="AN8" s="22"/>
      <c r="AP8" s="22"/>
      <c r="AR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6"/>
      <c r="BO8" s="6"/>
      <c r="BP8" s="22"/>
      <c r="BQ8" s="6"/>
      <c r="BW8" s="6"/>
    </row>
    <row r="9" spans="1:76">
      <c r="A9" s="100"/>
      <c r="B9" s="17" t="s">
        <v>264</v>
      </c>
      <c r="C9"/>
      <c r="D9"/>
      <c r="E9"/>
      <c r="F9"/>
      <c r="G9"/>
      <c r="H9"/>
      <c r="I9"/>
      <c r="J9" s="49" t="s">
        <v>0</v>
      </c>
      <c r="K9"/>
      <c r="L9" s="132" t="s">
        <v>202</v>
      </c>
      <c r="M9" s="6"/>
      <c r="N9" s="6">
        <v>0</v>
      </c>
      <c r="O9" s="6"/>
      <c r="P9" s="6">
        <v>0</v>
      </c>
      <c r="Q9" s="6"/>
      <c r="R9" s="6">
        <v>85821500</v>
      </c>
      <c r="S9" s="6"/>
      <c r="T9" s="6">
        <v>16673400</v>
      </c>
      <c r="U9" s="6"/>
      <c r="V9" s="6">
        <v>43401650</v>
      </c>
      <c r="X9" s="6">
        <v>4291075</v>
      </c>
      <c r="Z9" s="6"/>
      <c r="AB9" s="6">
        <v>4291075</v>
      </c>
      <c r="AD9" s="6">
        <f>8617667-35517</f>
        <v>8582150</v>
      </c>
      <c r="AF9" s="6">
        <v>0</v>
      </c>
      <c r="AH9" s="6">
        <v>0</v>
      </c>
      <c r="AJ9" s="6">
        <v>318420.90000000002</v>
      </c>
      <c r="AL9" s="6">
        <v>0</v>
      </c>
      <c r="AN9" s="6">
        <v>0</v>
      </c>
      <c r="AP9" s="6">
        <v>39600</v>
      </c>
      <c r="AR9" s="6">
        <v>1077741.26</v>
      </c>
      <c r="AT9" s="6">
        <v>1077741.26</v>
      </c>
      <c r="AV9" s="6">
        <f>1077741.26*2</f>
        <v>2155482.52</v>
      </c>
      <c r="AX9" s="6">
        <v>0</v>
      </c>
      <c r="AZ9" s="6">
        <v>0</v>
      </c>
      <c r="BB9" s="6">
        <v>0</v>
      </c>
      <c r="BD9" s="6">
        <f>592658.8+3218306.1</f>
        <v>3810964.9000000004</v>
      </c>
      <c r="BF9" s="6">
        <v>0</v>
      </c>
      <c r="BH9" s="6">
        <v>0</v>
      </c>
      <c r="BJ9" s="6">
        <v>0</v>
      </c>
      <c r="BL9" s="6">
        <v>0</v>
      </c>
      <c r="BM9" s="6"/>
      <c r="BN9" s="6">
        <f>SUM(T9:BM9)</f>
        <v>85719300.840000018</v>
      </c>
      <c r="BO9" s="6"/>
      <c r="BP9" s="6">
        <f>353801-22200+66200</f>
        <v>397801</v>
      </c>
      <c r="BQ9" s="6"/>
      <c r="BR9" s="6">
        <f>IF(+R9-BN9+BP9&gt;0,R9-BN9+BP9,0)</f>
        <v>500000.15999998152</v>
      </c>
      <c r="BT9" s="6">
        <f>+BN9+BR9</f>
        <v>86219301</v>
      </c>
      <c r="BV9" s="6">
        <f>+R9-BT9</f>
        <v>-397801</v>
      </c>
      <c r="BW9" s="6"/>
    </row>
    <row r="10" spans="1:76">
      <c r="A10" s="100"/>
      <c r="B10" s="17" t="s">
        <v>121</v>
      </c>
      <c r="C10"/>
      <c r="D10"/>
      <c r="E10"/>
      <c r="F10"/>
      <c r="G10"/>
      <c r="H10"/>
      <c r="I10"/>
      <c r="J10" s="49" t="s">
        <v>0</v>
      </c>
      <c r="K10"/>
      <c r="L10" s="132" t="s">
        <v>202</v>
      </c>
      <c r="M10" s="6"/>
      <c r="N10" s="6">
        <v>93330000</v>
      </c>
      <c r="O10" s="6"/>
      <c r="P10" s="6">
        <v>0</v>
      </c>
      <c r="Q10" s="6"/>
      <c r="R10" s="6">
        <v>100000</v>
      </c>
      <c r="S10" s="6"/>
      <c r="T10" s="6"/>
      <c r="U10" s="6"/>
      <c r="V10" s="6"/>
      <c r="X10" s="6"/>
      <c r="Z10" s="6"/>
      <c r="AB10" s="6"/>
      <c r="AD10" s="6">
        <v>35517</v>
      </c>
      <c r="AF10" s="6">
        <v>0</v>
      </c>
      <c r="AH10" s="6">
        <v>0</v>
      </c>
      <c r="AJ10" s="6">
        <v>0</v>
      </c>
      <c r="AL10" s="6">
        <v>0</v>
      </c>
      <c r="AN10" s="6">
        <v>0</v>
      </c>
      <c r="AP10" s="6">
        <v>0</v>
      </c>
      <c r="AR10" s="6">
        <v>0</v>
      </c>
      <c r="AT10" s="6">
        <v>0</v>
      </c>
      <c r="AV10" s="6">
        <v>0</v>
      </c>
      <c r="AX10" s="6">
        <v>0</v>
      </c>
      <c r="AZ10" s="6">
        <v>0</v>
      </c>
      <c r="BB10" s="6">
        <v>0</v>
      </c>
      <c r="BD10" s="6">
        <v>633171</v>
      </c>
      <c r="BF10" s="6">
        <v>0</v>
      </c>
      <c r="BH10" s="6">
        <v>0</v>
      </c>
      <c r="BJ10" s="6">
        <v>0</v>
      </c>
      <c r="BL10" s="6">
        <v>0</v>
      </c>
      <c r="BM10" s="6"/>
      <c r="BN10" s="6">
        <f>SUM(T10:BM10)</f>
        <v>668688</v>
      </c>
      <c r="BO10" s="6"/>
      <c r="BP10" s="6">
        <f>35517+533171</f>
        <v>568688</v>
      </c>
      <c r="BQ10" s="6"/>
      <c r="BR10" s="6">
        <f>IF(+R10-BN10+BP10&gt;0,R10-BN10+BP10,0)</f>
        <v>0</v>
      </c>
      <c r="BT10" s="6">
        <f>+BN10+BR10</f>
        <v>668688</v>
      </c>
      <c r="BV10" s="6">
        <f>+R10-BT10</f>
        <v>-568688</v>
      </c>
      <c r="BW10" s="6"/>
    </row>
    <row r="11" spans="1:76">
      <c r="A11" s="100"/>
      <c r="B11" s="17"/>
      <c r="C11"/>
      <c r="D11"/>
      <c r="E11"/>
      <c r="F11"/>
      <c r="G11"/>
      <c r="H11"/>
      <c r="I11"/>
      <c r="J11" s="49"/>
      <c r="K11"/>
      <c r="L11" s="132"/>
      <c r="M11" s="6"/>
      <c r="N11" s="12"/>
      <c r="O11" s="6"/>
      <c r="P11" s="12"/>
      <c r="Q11" s="6"/>
      <c r="R11" s="12"/>
      <c r="S11" s="6"/>
      <c r="T11" s="12"/>
      <c r="U11" s="6"/>
      <c r="V11" s="12"/>
      <c r="X11" s="12"/>
      <c r="Z11" s="12"/>
      <c r="AB11" s="12"/>
      <c r="AD11" s="12"/>
      <c r="AF11" s="12"/>
      <c r="AH11" s="12"/>
      <c r="AJ11" s="12"/>
      <c r="AL11" s="12"/>
      <c r="AN11" s="12"/>
      <c r="AP11" s="12"/>
      <c r="AR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6"/>
      <c r="BN11" s="12"/>
      <c r="BO11" s="6"/>
      <c r="BP11" s="12"/>
      <c r="BQ11" s="6"/>
      <c r="BR11" s="12"/>
      <c r="BT11" s="12"/>
      <c r="BV11" s="6">
        <f>+R11-BT11</f>
        <v>0</v>
      </c>
      <c r="BW11" s="6"/>
    </row>
    <row r="12" spans="1:76">
      <c r="A12" s="100"/>
      <c r="B12" s="17" t="s">
        <v>195</v>
      </c>
      <c r="C12"/>
      <c r="D12"/>
      <c r="E12"/>
      <c r="F12"/>
      <c r="G12"/>
      <c r="H12"/>
      <c r="I12"/>
      <c r="J12" s="49"/>
      <c r="K12"/>
      <c r="L12" s="132"/>
      <c r="M12" s="6"/>
      <c r="N12" s="101">
        <f>SUM(N9:N11)</f>
        <v>93330000</v>
      </c>
      <c r="O12" s="6"/>
      <c r="P12" s="101">
        <f>SUM(P9:P11)</f>
        <v>0</v>
      </c>
      <c r="Q12" s="6"/>
      <c r="R12" s="101">
        <f>SUM(R9:R11)</f>
        <v>85921500</v>
      </c>
      <c r="S12" s="6"/>
      <c r="T12" s="101">
        <f>SUM(T9:T11)</f>
        <v>16673400</v>
      </c>
      <c r="U12" s="6"/>
      <c r="V12" s="101">
        <f>SUM(V9:V11)</f>
        <v>43401650</v>
      </c>
      <c r="X12" s="101">
        <f>SUM(X9:X11)</f>
        <v>4291075</v>
      </c>
      <c r="Z12" s="101">
        <f>SUM(Z9:Z11)</f>
        <v>0</v>
      </c>
      <c r="AB12" s="101">
        <f>SUM(AB9:AB11)</f>
        <v>4291075</v>
      </c>
      <c r="AD12" s="101">
        <f>SUM(AD9:AD11)</f>
        <v>8617667</v>
      </c>
      <c r="AF12" s="101">
        <f>SUM(AF9:AF11)</f>
        <v>0</v>
      </c>
      <c r="AH12" s="101">
        <f>SUM(AH9:AH11)</f>
        <v>0</v>
      </c>
      <c r="AJ12" s="101">
        <f>SUM(AJ9:AJ11)</f>
        <v>318420.90000000002</v>
      </c>
      <c r="AL12" s="101">
        <f>SUM(AL9:AL11)</f>
        <v>0</v>
      </c>
      <c r="AN12" s="101">
        <f>SUM(AN9:AN11)</f>
        <v>0</v>
      </c>
      <c r="AP12" s="101">
        <f>SUM(AP9:AP11)</f>
        <v>39600</v>
      </c>
      <c r="AR12" s="101">
        <f>SUM(AR9:AR11)</f>
        <v>1077741.26</v>
      </c>
      <c r="AT12" s="101">
        <f>SUM(AT9:AT11)</f>
        <v>1077741.26</v>
      </c>
      <c r="AU12" s="12"/>
      <c r="AV12" s="101">
        <f>SUM(AV9:AV11)</f>
        <v>2155482.52</v>
      </c>
      <c r="AW12" s="12"/>
      <c r="AX12" s="101">
        <f>SUM(AX9:AX11)</f>
        <v>0</v>
      </c>
      <c r="AY12" s="12"/>
      <c r="AZ12" s="101">
        <f>SUM(AZ9:AZ11)</f>
        <v>0</v>
      </c>
      <c r="BA12" s="12"/>
      <c r="BB12" s="101">
        <f>SUM(BB9:BB11)</f>
        <v>0</v>
      </c>
      <c r="BC12" s="12"/>
      <c r="BD12" s="101">
        <f>SUM(BD9:BD11)</f>
        <v>4444135.9000000004</v>
      </c>
      <c r="BE12" s="12"/>
      <c r="BF12" s="101">
        <f>SUM(BF9:BF11)</f>
        <v>0</v>
      </c>
      <c r="BG12" s="12"/>
      <c r="BH12" s="101">
        <f>SUM(BH9:BH11)</f>
        <v>0</v>
      </c>
      <c r="BI12" s="12"/>
      <c r="BJ12" s="101">
        <f>SUM(BJ9:BJ11)</f>
        <v>0</v>
      </c>
      <c r="BK12" s="12"/>
      <c r="BL12" s="101">
        <f>SUM(BL9:BL11)</f>
        <v>0</v>
      </c>
      <c r="BM12" s="6"/>
      <c r="BN12" s="101">
        <f>SUM(BN9:BN11)</f>
        <v>86387988.840000018</v>
      </c>
      <c r="BO12" s="6"/>
      <c r="BP12" s="101">
        <f>SUM(BP9:BP11)</f>
        <v>966489</v>
      </c>
      <c r="BQ12" s="6"/>
      <c r="BR12" s="101">
        <f>SUM(BR9:BR11)</f>
        <v>500000.15999998152</v>
      </c>
      <c r="BT12" s="101">
        <f>SUM(BT9:BT11)</f>
        <v>86887989</v>
      </c>
      <c r="BV12" s="101">
        <f>SUM(BV9:BV11)</f>
        <v>-966489</v>
      </c>
      <c r="BW12" s="6"/>
    </row>
    <row r="13" spans="1:76">
      <c r="A13" s="100"/>
      <c r="B13" s="17"/>
      <c r="C13"/>
      <c r="D13"/>
      <c r="E13"/>
      <c r="F13"/>
      <c r="G13"/>
      <c r="H13"/>
      <c r="I13"/>
      <c r="J13" s="49"/>
      <c r="K13"/>
      <c r="L13" s="132"/>
      <c r="M13" s="6"/>
      <c r="O13" s="6"/>
      <c r="Q13" s="6"/>
      <c r="S13" s="6"/>
      <c r="T13" s="6"/>
      <c r="U13" s="6"/>
      <c r="V13" s="6"/>
      <c r="X13" s="6"/>
      <c r="Z13" s="6"/>
      <c r="AB13" s="6"/>
      <c r="AD13" s="6"/>
      <c r="BJ13" s="6"/>
      <c r="BL13" s="6"/>
      <c r="BM13" s="6"/>
      <c r="BO13" s="6"/>
      <c r="BP13" s="6"/>
      <c r="BQ13" s="6"/>
      <c r="BW13" s="6"/>
    </row>
    <row r="14" spans="1:76" hidden="1">
      <c r="A14" s="100"/>
      <c r="B14" s="17" t="s">
        <v>26</v>
      </c>
      <c r="C14"/>
      <c r="D14"/>
      <c r="E14"/>
      <c r="F14"/>
      <c r="G14"/>
      <c r="H14"/>
      <c r="I14"/>
      <c r="J14" s="49"/>
      <c r="K14"/>
      <c r="L14" s="132" t="s">
        <v>202</v>
      </c>
      <c r="M14" s="6"/>
      <c r="N14" s="6">
        <v>0</v>
      </c>
      <c r="O14" s="6"/>
      <c r="P14" s="6">
        <v>0</v>
      </c>
      <c r="Q14" s="6"/>
      <c r="R14" s="6">
        <f>+N14+P14</f>
        <v>0</v>
      </c>
      <c r="S14" s="6"/>
      <c r="T14" s="6">
        <v>0</v>
      </c>
      <c r="U14" s="6"/>
      <c r="V14" s="6">
        <v>0</v>
      </c>
      <c r="X14" s="6">
        <v>0</v>
      </c>
      <c r="Z14" s="6">
        <v>0</v>
      </c>
      <c r="AB14" s="6">
        <v>0</v>
      </c>
      <c r="AD14" s="6">
        <v>0</v>
      </c>
      <c r="AF14" s="6">
        <v>0</v>
      </c>
      <c r="AH14" s="6">
        <v>0</v>
      </c>
      <c r="AJ14" s="6">
        <v>0</v>
      </c>
      <c r="AL14" s="6">
        <v>0</v>
      </c>
      <c r="AN14" s="6">
        <v>0</v>
      </c>
      <c r="AP14" s="6">
        <v>0</v>
      </c>
      <c r="AR14" s="6">
        <v>0</v>
      </c>
      <c r="AT14" s="6">
        <v>0</v>
      </c>
      <c r="AV14" s="6">
        <v>0</v>
      </c>
      <c r="AX14" s="6">
        <v>0</v>
      </c>
      <c r="AZ14" s="6">
        <v>0</v>
      </c>
      <c r="BB14" s="6">
        <v>0</v>
      </c>
      <c r="BD14" s="6">
        <v>0</v>
      </c>
      <c r="BF14" s="6">
        <v>0</v>
      </c>
      <c r="BH14" s="6">
        <v>0</v>
      </c>
      <c r="BJ14" s="6">
        <v>0</v>
      </c>
      <c r="BL14" s="6">
        <v>0</v>
      </c>
      <c r="BM14" s="6"/>
      <c r="BN14" s="6">
        <f>SUM(T14:BM14)</f>
        <v>0</v>
      </c>
      <c r="BO14" s="6"/>
      <c r="BP14" s="6">
        <v>0</v>
      </c>
      <c r="BQ14" s="6"/>
      <c r="BR14" s="6">
        <f>+R14-BN14+BP14</f>
        <v>0</v>
      </c>
      <c r="BT14" s="6">
        <f t="shared" ref="BT14:BT31" si="0">+BN14+BR14</f>
        <v>0</v>
      </c>
      <c r="BV14" s="6">
        <f t="shared" ref="BV14:BV31" si="1">+R14-BT14</f>
        <v>0</v>
      </c>
      <c r="BW14" s="6"/>
    </row>
    <row r="15" spans="1:76">
      <c r="A15" s="100"/>
      <c r="B15" s="17" t="s">
        <v>221</v>
      </c>
      <c r="C15"/>
      <c r="D15"/>
      <c r="E15"/>
      <c r="F15"/>
      <c r="G15"/>
      <c r="H15"/>
      <c r="I15"/>
      <c r="J15" s="49" t="s">
        <v>0</v>
      </c>
      <c r="K15"/>
      <c r="L15" s="132" t="s">
        <v>202</v>
      </c>
      <c r="M15" s="6"/>
      <c r="N15" s="6">
        <v>0</v>
      </c>
      <c r="O15" s="6"/>
      <c r="P15" s="6">
        <v>0</v>
      </c>
      <c r="Q15" s="6"/>
      <c r="R15" s="6">
        <v>3949654</v>
      </c>
      <c r="S15" s="6"/>
      <c r="T15" s="6">
        <v>0</v>
      </c>
      <c r="U15" s="6"/>
      <c r="V15" s="6"/>
      <c r="X15" s="6">
        <v>0</v>
      </c>
      <c r="Z15" s="6">
        <v>0</v>
      </c>
      <c r="AB15" s="6">
        <v>0</v>
      </c>
      <c r="AD15" s="6">
        <v>0</v>
      </c>
      <c r="AF15" s="6">
        <v>0</v>
      </c>
      <c r="AH15" s="6">
        <v>197482.7</v>
      </c>
      <c r="AJ15" s="6">
        <v>350000</v>
      </c>
      <c r="AL15" s="6">
        <v>935</v>
      </c>
      <c r="AN15" s="6">
        <v>595253.1</v>
      </c>
      <c r="AP15" s="6">
        <v>0</v>
      </c>
      <c r="AR15" s="6">
        <v>1190506.2</v>
      </c>
      <c r="AT15" s="6">
        <v>1190506.2</v>
      </c>
      <c r="AV15" s="6">
        <v>0</v>
      </c>
      <c r="AX15" s="6">
        <f>1587342-975006-215500</f>
        <v>396836</v>
      </c>
      <c r="AZ15" s="6">
        <v>0</v>
      </c>
      <c r="BB15" s="6">
        <v>396835.4</v>
      </c>
      <c r="BD15" s="6">
        <v>0</v>
      </c>
      <c r="BF15" s="6">
        <v>0</v>
      </c>
      <c r="BH15" s="6">
        <v>0</v>
      </c>
      <c r="BJ15" s="6">
        <v>0</v>
      </c>
      <c r="BL15" s="6">
        <v>0</v>
      </c>
      <c r="BM15" s="6"/>
      <c r="BN15" s="6">
        <f>SUM(T15:BM15)</f>
        <v>4318354.6000000006</v>
      </c>
      <c r="BO15" s="6"/>
      <c r="BP15" s="6">
        <f>3968354-3949654+215500</f>
        <v>234200</v>
      </c>
      <c r="BQ15" s="6"/>
      <c r="BR15" s="6">
        <f t="shared" ref="BR15:BR31" si="2">IF(+R15-BN15+BP15&gt;0,R15-BN15+BP15,0)</f>
        <v>0</v>
      </c>
      <c r="BT15" s="6">
        <f t="shared" si="0"/>
        <v>4318354.6000000006</v>
      </c>
      <c r="BV15" s="6">
        <f t="shared" si="1"/>
        <v>-368700.60000000056</v>
      </c>
      <c r="BW15" s="6"/>
    </row>
    <row r="16" spans="1:76">
      <c r="A16" s="100"/>
      <c r="B16" s="17" t="s">
        <v>277</v>
      </c>
      <c r="C16"/>
      <c r="D16"/>
      <c r="E16"/>
      <c r="F16"/>
      <c r="G16"/>
      <c r="H16"/>
      <c r="I16"/>
      <c r="J16" s="49"/>
      <c r="K16"/>
      <c r="L16" s="132"/>
      <c r="M16" s="6"/>
      <c r="O16" s="6"/>
      <c r="Q16" s="6"/>
      <c r="R16" s="6">
        <v>412400</v>
      </c>
      <c r="S16" s="6"/>
      <c r="T16" s="6"/>
      <c r="U16" s="6"/>
      <c r="V16" s="6"/>
      <c r="X16" s="6"/>
      <c r="Z16" s="6"/>
      <c r="AB16" s="6"/>
      <c r="AD16" s="6"/>
      <c r="AH16" s="6">
        <v>62400</v>
      </c>
      <c r="AN16" s="6">
        <v>59780</v>
      </c>
      <c r="AX16" s="6">
        <v>215500</v>
      </c>
      <c r="BJ16" s="6"/>
      <c r="BL16" s="6"/>
      <c r="BM16" s="6"/>
      <c r="BN16" s="6">
        <f>SUM(T16:BM16)</f>
        <v>337680</v>
      </c>
      <c r="BO16" s="6"/>
      <c r="BP16" s="6">
        <v>59780</v>
      </c>
      <c r="BQ16" s="6"/>
      <c r="BR16" s="6">
        <f t="shared" si="2"/>
        <v>134500</v>
      </c>
      <c r="BT16" s="6">
        <f t="shared" si="0"/>
        <v>472180</v>
      </c>
      <c r="BV16" s="6">
        <f t="shared" si="1"/>
        <v>-59780</v>
      </c>
      <c r="BW16" s="6"/>
    </row>
    <row r="17" spans="1:75">
      <c r="A17" s="100"/>
      <c r="B17" s="17" t="s">
        <v>224</v>
      </c>
      <c r="C17"/>
      <c r="D17"/>
      <c r="E17"/>
      <c r="F17"/>
      <c r="G17"/>
      <c r="H17"/>
      <c r="I17"/>
      <c r="J17" s="49" t="s">
        <v>0</v>
      </c>
      <c r="K17"/>
      <c r="L17" s="132" t="s">
        <v>202</v>
      </c>
      <c r="M17" s="6"/>
      <c r="O17" s="6"/>
      <c r="Q17" s="6"/>
      <c r="S17" s="6"/>
      <c r="T17" s="6"/>
      <c r="U17" s="6"/>
      <c r="V17" s="6"/>
      <c r="X17" s="6"/>
      <c r="Z17" s="6"/>
      <c r="AB17" s="6"/>
      <c r="AD17" s="6"/>
      <c r="BJ17" s="6"/>
      <c r="BL17" s="6"/>
      <c r="BM17" s="6"/>
      <c r="BN17" s="6">
        <f t="shared" ref="BN17:BN30" si="3">SUM(T17:BM17)</f>
        <v>0</v>
      </c>
      <c r="BO17" s="6"/>
      <c r="BP17" s="6"/>
      <c r="BQ17" s="6"/>
      <c r="BR17" s="6">
        <f t="shared" si="2"/>
        <v>0</v>
      </c>
      <c r="BT17" s="6">
        <f t="shared" si="0"/>
        <v>0</v>
      </c>
      <c r="BV17" s="6">
        <f t="shared" si="1"/>
        <v>0</v>
      </c>
      <c r="BW17" s="6"/>
    </row>
    <row r="18" spans="1:75">
      <c r="A18" s="100"/>
      <c r="B18" s="17" t="s">
        <v>225</v>
      </c>
      <c r="C18"/>
      <c r="D18"/>
      <c r="E18"/>
      <c r="F18"/>
      <c r="G18"/>
      <c r="H18"/>
      <c r="I18"/>
      <c r="J18" s="49" t="s">
        <v>0</v>
      </c>
      <c r="K18"/>
      <c r="L18" s="132" t="s">
        <v>202</v>
      </c>
      <c r="M18" s="6"/>
      <c r="O18" s="6"/>
      <c r="Q18" s="6"/>
      <c r="S18" s="6"/>
      <c r="T18" s="6"/>
      <c r="U18" s="6"/>
      <c r="V18" s="6"/>
      <c r="X18" s="6"/>
      <c r="Z18" s="6"/>
      <c r="AB18" s="6"/>
      <c r="AD18" s="6"/>
      <c r="BJ18" s="6"/>
      <c r="BL18" s="6"/>
      <c r="BM18" s="6"/>
      <c r="BN18" s="6">
        <f t="shared" si="3"/>
        <v>0</v>
      </c>
      <c r="BO18" s="6"/>
      <c r="BP18" s="6"/>
      <c r="BQ18" s="6"/>
      <c r="BR18" s="6">
        <f t="shared" si="2"/>
        <v>0</v>
      </c>
      <c r="BT18" s="6">
        <f t="shared" si="0"/>
        <v>0</v>
      </c>
      <c r="BV18" s="6">
        <f t="shared" si="1"/>
        <v>0</v>
      </c>
      <c r="BW18" s="6"/>
    </row>
    <row r="19" spans="1:75">
      <c r="A19" s="100"/>
      <c r="B19" s="17" t="s">
        <v>222</v>
      </c>
      <c r="C19"/>
      <c r="D19"/>
      <c r="E19"/>
      <c r="F19"/>
      <c r="G19"/>
      <c r="H19"/>
      <c r="I19"/>
      <c r="J19" s="49" t="s">
        <v>0</v>
      </c>
      <c r="K19"/>
      <c r="L19" s="132" t="s">
        <v>202</v>
      </c>
      <c r="M19" s="6"/>
      <c r="O19" s="6"/>
      <c r="Q19" s="6"/>
      <c r="S19" s="6"/>
      <c r="T19" s="6"/>
      <c r="U19" s="6"/>
      <c r="V19" s="6"/>
      <c r="X19" s="6"/>
      <c r="Z19" s="6"/>
      <c r="AB19" s="6"/>
      <c r="AD19" s="6"/>
      <c r="BJ19" s="6"/>
      <c r="BL19" s="6"/>
      <c r="BM19" s="6"/>
      <c r="BN19" s="6">
        <f t="shared" si="3"/>
        <v>0</v>
      </c>
      <c r="BO19" s="6"/>
      <c r="BP19" s="6"/>
      <c r="BQ19" s="6"/>
      <c r="BR19" s="6">
        <f t="shared" si="2"/>
        <v>0</v>
      </c>
      <c r="BT19" s="6">
        <f t="shared" si="0"/>
        <v>0</v>
      </c>
      <c r="BV19" s="6">
        <f t="shared" si="1"/>
        <v>0</v>
      </c>
      <c r="BW19" s="6"/>
    </row>
    <row r="20" spans="1:75">
      <c r="A20" s="100"/>
      <c r="B20" s="17" t="s">
        <v>223</v>
      </c>
      <c r="C20"/>
      <c r="D20"/>
      <c r="E20"/>
      <c r="F20"/>
      <c r="G20"/>
      <c r="H20"/>
      <c r="I20"/>
      <c r="J20" s="49" t="s">
        <v>0</v>
      </c>
      <c r="K20"/>
      <c r="L20" s="132" t="s">
        <v>202</v>
      </c>
      <c r="M20" s="6"/>
      <c r="O20" s="6"/>
      <c r="Q20" s="6"/>
      <c r="R20" s="6">
        <v>0</v>
      </c>
      <c r="S20" s="6"/>
      <c r="T20" s="6"/>
      <c r="U20" s="6"/>
      <c r="V20" s="6"/>
      <c r="X20" s="6"/>
      <c r="Z20" s="6"/>
      <c r="AB20" s="6"/>
      <c r="AD20" s="6"/>
      <c r="BJ20" s="6"/>
      <c r="BL20" s="6"/>
      <c r="BM20" s="6"/>
      <c r="BN20" s="6">
        <f t="shared" si="3"/>
        <v>0</v>
      </c>
      <c r="BO20" s="6"/>
      <c r="BP20" s="6"/>
      <c r="BQ20" s="6"/>
      <c r="BR20" s="6">
        <f t="shared" si="2"/>
        <v>0</v>
      </c>
      <c r="BT20" s="6">
        <f t="shared" si="0"/>
        <v>0</v>
      </c>
      <c r="BV20" s="6">
        <f t="shared" si="1"/>
        <v>0</v>
      </c>
      <c r="BW20" s="6"/>
    </row>
    <row r="21" spans="1:75" hidden="1">
      <c r="A21" s="100"/>
      <c r="B21" s="17"/>
      <c r="C21"/>
      <c r="D21"/>
      <c r="E21"/>
      <c r="F21"/>
      <c r="G21"/>
      <c r="H21"/>
      <c r="I21"/>
      <c r="J21" s="49" t="s">
        <v>0</v>
      </c>
      <c r="K21"/>
      <c r="L21" s="132"/>
      <c r="M21" s="6"/>
      <c r="O21" s="6"/>
      <c r="Q21" s="6"/>
      <c r="S21" s="6"/>
      <c r="T21" s="6"/>
      <c r="U21" s="6"/>
      <c r="V21" s="6"/>
      <c r="X21" s="6"/>
      <c r="Z21" s="6"/>
      <c r="AB21" s="6"/>
      <c r="AD21" s="6"/>
      <c r="BJ21" s="6"/>
      <c r="BL21" s="6"/>
      <c r="BM21" s="6"/>
      <c r="BN21" s="6">
        <f t="shared" si="3"/>
        <v>0</v>
      </c>
      <c r="BO21" s="6"/>
      <c r="BP21" s="6"/>
      <c r="BQ21" s="6"/>
      <c r="BR21" s="6">
        <f t="shared" si="2"/>
        <v>0</v>
      </c>
      <c r="BT21" s="6">
        <f t="shared" si="0"/>
        <v>0</v>
      </c>
      <c r="BV21" s="6">
        <f t="shared" si="1"/>
        <v>0</v>
      </c>
      <c r="BW21" s="6"/>
    </row>
    <row r="22" spans="1:75" hidden="1">
      <c r="A22" s="100"/>
      <c r="B22" s="17" t="s">
        <v>7</v>
      </c>
      <c r="C22"/>
      <c r="D22"/>
      <c r="E22"/>
      <c r="F22"/>
      <c r="G22"/>
      <c r="H22"/>
      <c r="I22"/>
      <c r="J22" s="49" t="s">
        <v>0</v>
      </c>
      <c r="K22"/>
      <c r="L22" s="132" t="s">
        <v>202</v>
      </c>
      <c r="M22" s="6"/>
      <c r="N22" s="6">
        <v>0</v>
      </c>
      <c r="O22" s="6"/>
      <c r="P22" s="6">
        <v>0</v>
      </c>
      <c r="Q22" s="6"/>
      <c r="R22" s="6">
        <f t="shared" ref="R22:R29" si="4">+N22+P22</f>
        <v>0</v>
      </c>
      <c r="S22" s="6"/>
      <c r="T22" s="6">
        <v>0</v>
      </c>
      <c r="U22" s="6"/>
      <c r="V22" s="6">
        <v>0</v>
      </c>
      <c r="X22" s="6">
        <v>0</v>
      </c>
      <c r="Z22" s="6">
        <v>0</v>
      </c>
      <c r="AB22" s="6">
        <v>0</v>
      </c>
      <c r="AD22" s="6">
        <v>0</v>
      </c>
      <c r="AF22" s="6">
        <v>0</v>
      </c>
      <c r="AH22" s="6">
        <v>0</v>
      </c>
      <c r="AJ22" s="6">
        <v>0</v>
      </c>
      <c r="AL22" s="6">
        <v>0</v>
      </c>
      <c r="AN22" s="6">
        <v>0</v>
      </c>
      <c r="AP22" s="6">
        <v>0</v>
      </c>
      <c r="AR22" s="6">
        <v>0</v>
      </c>
      <c r="AT22" s="6">
        <v>0</v>
      </c>
      <c r="AV22" s="6">
        <v>0</v>
      </c>
      <c r="AX22" s="6">
        <v>0</v>
      </c>
      <c r="AZ22" s="6">
        <v>0</v>
      </c>
      <c r="BB22" s="6">
        <v>0</v>
      </c>
      <c r="BD22" s="6">
        <v>0</v>
      </c>
      <c r="BF22" s="6">
        <v>0</v>
      </c>
      <c r="BH22" s="6">
        <v>0</v>
      </c>
      <c r="BJ22" s="6">
        <v>0</v>
      </c>
      <c r="BL22" s="6">
        <v>0</v>
      </c>
      <c r="BM22" s="6"/>
      <c r="BN22" s="6">
        <f t="shared" si="3"/>
        <v>0</v>
      </c>
      <c r="BO22" s="6"/>
      <c r="BP22" s="6">
        <v>0</v>
      </c>
      <c r="BQ22" s="6"/>
      <c r="BR22" s="6">
        <f t="shared" si="2"/>
        <v>0</v>
      </c>
      <c r="BT22" s="6">
        <f t="shared" si="0"/>
        <v>0</v>
      </c>
      <c r="BV22" s="6">
        <f t="shared" si="1"/>
        <v>0</v>
      </c>
      <c r="BW22" s="6"/>
    </row>
    <row r="23" spans="1:75" hidden="1">
      <c r="A23" s="100"/>
      <c r="B23" s="17" t="s">
        <v>8</v>
      </c>
      <c r="C23"/>
      <c r="D23"/>
      <c r="E23"/>
      <c r="F23"/>
      <c r="G23"/>
      <c r="H23"/>
      <c r="I23"/>
      <c r="J23" s="49" t="s">
        <v>0</v>
      </c>
      <c r="K23"/>
      <c r="L23" s="132" t="s">
        <v>202</v>
      </c>
      <c r="M23" s="6"/>
      <c r="N23" s="6">
        <v>0</v>
      </c>
      <c r="O23" s="6"/>
      <c r="P23" s="6">
        <v>0</v>
      </c>
      <c r="Q23" s="6"/>
      <c r="R23" s="6">
        <f t="shared" si="4"/>
        <v>0</v>
      </c>
      <c r="S23" s="6"/>
      <c r="T23" s="6">
        <v>0</v>
      </c>
      <c r="U23" s="6"/>
      <c r="V23" s="6">
        <v>0</v>
      </c>
      <c r="X23" s="6">
        <v>0</v>
      </c>
      <c r="Z23" s="6">
        <v>0</v>
      </c>
      <c r="AB23" s="6">
        <v>0</v>
      </c>
      <c r="AD23" s="6">
        <v>0</v>
      </c>
      <c r="AF23" s="6">
        <v>0</v>
      </c>
      <c r="AH23" s="6">
        <v>0</v>
      </c>
      <c r="AJ23" s="6">
        <v>0</v>
      </c>
      <c r="AL23" s="6">
        <v>0</v>
      </c>
      <c r="AN23" s="6">
        <v>0</v>
      </c>
      <c r="AP23" s="6">
        <v>0</v>
      </c>
      <c r="AR23" s="6">
        <v>0</v>
      </c>
      <c r="AT23" s="6">
        <v>0</v>
      </c>
      <c r="AV23" s="6">
        <v>0</v>
      </c>
      <c r="AX23" s="6">
        <v>0</v>
      </c>
      <c r="AZ23" s="6">
        <v>0</v>
      </c>
      <c r="BB23" s="6">
        <v>0</v>
      </c>
      <c r="BD23" s="6">
        <v>0</v>
      </c>
      <c r="BF23" s="6">
        <v>0</v>
      </c>
      <c r="BH23" s="6">
        <v>0</v>
      </c>
      <c r="BJ23" s="6">
        <v>0</v>
      </c>
      <c r="BL23" s="6">
        <v>0</v>
      </c>
      <c r="BM23" s="6"/>
      <c r="BN23" s="6">
        <f t="shared" si="3"/>
        <v>0</v>
      </c>
      <c r="BO23" s="6"/>
      <c r="BP23" s="6">
        <v>0</v>
      </c>
      <c r="BQ23" s="6"/>
      <c r="BR23" s="6">
        <f t="shared" si="2"/>
        <v>0</v>
      </c>
      <c r="BT23" s="6">
        <f t="shared" si="0"/>
        <v>0</v>
      </c>
      <c r="BV23" s="6">
        <f t="shared" si="1"/>
        <v>0</v>
      </c>
      <c r="BW23" s="6"/>
    </row>
    <row r="24" spans="1:75" hidden="1">
      <c r="A24" s="100"/>
      <c r="B24" s="17" t="s">
        <v>9</v>
      </c>
      <c r="C24"/>
      <c r="D24"/>
      <c r="E24"/>
      <c r="F24"/>
      <c r="G24"/>
      <c r="H24"/>
      <c r="I24"/>
      <c r="J24" s="49" t="s">
        <v>0</v>
      </c>
      <c r="K24"/>
      <c r="L24" s="132" t="s">
        <v>202</v>
      </c>
      <c r="M24" s="6"/>
      <c r="N24" s="6">
        <v>0</v>
      </c>
      <c r="O24" s="6"/>
      <c r="P24" s="6">
        <v>0</v>
      </c>
      <c r="Q24" s="6"/>
      <c r="R24" s="6">
        <f t="shared" si="4"/>
        <v>0</v>
      </c>
      <c r="S24" s="6"/>
      <c r="T24" s="6">
        <v>0</v>
      </c>
      <c r="U24" s="6"/>
      <c r="V24" s="6">
        <v>0</v>
      </c>
      <c r="X24" s="6">
        <v>0</v>
      </c>
      <c r="Z24" s="6">
        <v>0</v>
      </c>
      <c r="AB24" s="6">
        <v>0</v>
      </c>
      <c r="AD24" s="6">
        <v>0</v>
      </c>
      <c r="AF24" s="6">
        <v>0</v>
      </c>
      <c r="AH24" s="6">
        <v>0</v>
      </c>
      <c r="AJ24" s="6">
        <v>0</v>
      </c>
      <c r="AL24" s="6">
        <v>0</v>
      </c>
      <c r="AN24" s="6">
        <v>0</v>
      </c>
      <c r="AP24" s="6">
        <v>0</v>
      </c>
      <c r="AR24" s="6">
        <v>0</v>
      </c>
      <c r="AT24" s="6">
        <v>0</v>
      </c>
      <c r="AV24" s="6">
        <v>0</v>
      </c>
      <c r="AX24" s="6">
        <v>0</v>
      </c>
      <c r="AZ24" s="6">
        <v>0</v>
      </c>
      <c r="BB24" s="6">
        <v>0</v>
      </c>
      <c r="BD24" s="6">
        <v>0</v>
      </c>
      <c r="BF24" s="6">
        <v>0</v>
      </c>
      <c r="BH24" s="6">
        <v>0</v>
      </c>
      <c r="BJ24" s="6">
        <v>0</v>
      </c>
      <c r="BL24" s="6">
        <v>0</v>
      </c>
      <c r="BM24" s="6"/>
      <c r="BN24" s="6">
        <f t="shared" si="3"/>
        <v>0</v>
      </c>
      <c r="BO24" s="6"/>
      <c r="BP24" s="6">
        <v>0</v>
      </c>
      <c r="BQ24" s="6"/>
      <c r="BR24" s="6">
        <f t="shared" si="2"/>
        <v>0</v>
      </c>
      <c r="BT24" s="6">
        <f t="shared" si="0"/>
        <v>0</v>
      </c>
      <c r="BV24" s="6">
        <f t="shared" si="1"/>
        <v>0</v>
      </c>
      <c r="BW24" s="6"/>
    </row>
    <row r="25" spans="1:75" hidden="1">
      <c r="A25" s="100"/>
      <c r="B25" s="17" t="s">
        <v>10</v>
      </c>
      <c r="C25"/>
      <c r="D25"/>
      <c r="E25"/>
      <c r="F25"/>
      <c r="G25"/>
      <c r="H25"/>
      <c r="I25"/>
      <c r="J25" s="49" t="s">
        <v>0</v>
      </c>
      <c r="K25"/>
      <c r="L25" s="132" t="s">
        <v>202</v>
      </c>
      <c r="M25" s="6"/>
      <c r="N25" s="6">
        <v>0</v>
      </c>
      <c r="O25" s="6"/>
      <c r="P25" s="6">
        <v>0</v>
      </c>
      <c r="Q25" s="6"/>
      <c r="R25" s="6">
        <f t="shared" si="4"/>
        <v>0</v>
      </c>
      <c r="S25" s="6"/>
      <c r="T25" s="6">
        <v>0</v>
      </c>
      <c r="U25" s="6"/>
      <c r="V25" s="6">
        <v>0</v>
      </c>
      <c r="X25" s="6">
        <v>0</v>
      </c>
      <c r="Z25" s="6">
        <v>0</v>
      </c>
      <c r="AB25" s="6">
        <v>0</v>
      </c>
      <c r="AD25" s="6">
        <v>0</v>
      </c>
      <c r="AF25" s="6">
        <v>0</v>
      </c>
      <c r="AH25" s="6">
        <v>0</v>
      </c>
      <c r="AJ25" s="6">
        <v>0</v>
      </c>
      <c r="AL25" s="6">
        <v>0</v>
      </c>
      <c r="AN25" s="6">
        <v>0</v>
      </c>
      <c r="AP25" s="6">
        <v>0</v>
      </c>
      <c r="AR25" s="6">
        <v>0</v>
      </c>
      <c r="AT25" s="6">
        <v>0</v>
      </c>
      <c r="AV25" s="6">
        <v>0</v>
      </c>
      <c r="AX25" s="6">
        <v>0</v>
      </c>
      <c r="AZ25" s="6">
        <v>0</v>
      </c>
      <c r="BB25" s="6">
        <v>0</v>
      </c>
      <c r="BD25" s="6">
        <v>0</v>
      </c>
      <c r="BF25" s="6">
        <v>0</v>
      </c>
      <c r="BH25" s="6">
        <v>0</v>
      </c>
      <c r="BJ25" s="6">
        <v>0</v>
      </c>
      <c r="BL25" s="6">
        <v>0</v>
      </c>
      <c r="BM25" s="6"/>
      <c r="BN25" s="6">
        <f t="shared" si="3"/>
        <v>0</v>
      </c>
      <c r="BO25" s="6"/>
      <c r="BP25" s="6">
        <v>0</v>
      </c>
      <c r="BQ25" s="6"/>
      <c r="BR25" s="6">
        <f t="shared" si="2"/>
        <v>0</v>
      </c>
      <c r="BT25" s="6">
        <f t="shared" si="0"/>
        <v>0</v>
      </c>
      <c r="BV25" s="6">
        <f t="shared" si="1"/>
        <v>0</v>
      </c>
      <c r="BW25" s="6"/>
    </row>
    <row r="26" spans="1:75" hidden="1">
      <c r="A26" s="100"/>
      <c r="B26" s="17" t="s">
        <v>11</v>
      </c>
      <c r="C26"/>
      <c r="D26"/>
      <c r="E26"/>
      <c r="F26"/>
      <c r="G26"/>
      <c r="H26"/>
      <c r="I26"/>
      <c r="J26" s="49" t="s">
        <v>0</v>
      </c>
      <c r="K26"/>
      <c r="L26" s="132" t="s">
        <v>202</v>
      </c>
      <c r="M26" s="6"/>
      <c r="N26" s="6">
        <v>0</v>
      </c>
      <c r="O26" s="6"/>
      <c r="P26" s="6">
        <v>0</v>
      </c>
      <c r="Q26" s="6"/>
      <c r="R26" s="6">
        <f t="shared" si="4"/>
        <v>0</v>
      </c>
      <c r="S26" s="6"/>
      <c r="T26" s="6">
        <v>0</v>
      </c>
      <c r="U26" s="6"/>
      <c r="V26" s="6">
        <v>0</v>
      </c>
      <c r="X26" s="6">
        <v>0</v>
      </c>
      <c r="Z26" s="6">
        <v>0</v>
      </c>
      <c r="AB26" s="6">
        <v>0</v>
      </c>
      <c r="AD26" s="6">
        <v>0</v>
      </c>
      <c r="AF26" s="6">
        <v>0</v>
      </c>
      <c r="AH26" s="6">
        <v>0</v>
      </c>
      <c r="AJ26" s="6">
        <v>0</v>
      </c>
      <c r="AL26" s="6">
        <v>0</v>
      </c>
      <c r="AN26" s="6">
        <v>0</v>
      </c>
      <c r="AP26" s="6">
        <v>0</v>
      </c>
      <c r="AR26" s="6">
        <v>0</v>
      </c>
      <c r="AT26" s="6">
        <v>0</v>
      </c>
      <c r="AV26" s="6">
        <v>0</v>
      </c>
      <c r="AX26" s="6">
        <v>0</v>
      </c>
      <c r="AZ26" s="6">
        <v>0</v>
      </c>
      <c r="BB26" s="6">
        <v>0</v>
      </c>
      <c r="BD26" s="6">
        <v>0</v>
      </c>
      <c r="BF26" s="6">
        <v>0</v>
      </c>
      <c r="BH26" s="6">
        <v>0</v>
      </c>
      <c r="BJ26" s="6">
        <v>0</v>
      </c>
      <c r="BL26" s="6">
        <v>0</v>
      </c>
      <c r="BM26" s="6"/>
      <c r="BN26" s="6">
        <f t="shared" si="3"/>
        <v>0</v>
      </c>
      <c r="BO26" s="6"/>
      <c r="BP26" s="6">
        <v>0</v>
      </c>
      <c r="BQ26" s="6"/>
      <c r="BR26" s="6">
        <f t="shared" si="2"/>
        <v>0</v>
      </c>
      <c r="BT26" s="6">
        <f t="shared" si="0"/>
        <v>0</v>
      </c>
      <c r="BV26" s="6">
        <f t="shared" si="1"/>
        <v>0</v>
      </c>
      <c r="BW26" s="6"/>
    </row>
    <row r="27" spans="1:75" hidden="1">
      <c r="A27" s="281"/>
      <c r="B27" s="17" t="s">
        <v>12</v>
      </c>
      <c r="C27"/>
      <c r="D27"/>
      <c r="E27"/>
      <c r="F27"/>
      <c r="G27"/>
      <c r="H27"/>
      <c r="I27"/>
      <c r="J27" s="49" t="s">
        <v>0</v>
      </c>
      <c r="K27"/>
      <c r="L27" s="132" t="s">
        <v>202</v>
      </c>
      <c r="M27" s="6"/>
      <c r="N27" s="6">
        <v>0</v>
      </c>
      <c r="O27" s="6"/>
      <c r="P27" s="6">
        <v>0</v>
      </c>
      <c r="Q27" s="6"/>
      <c r="R27" s="6">
        <f t="shared" si="4"/>
        <v>0</v>
      </c>
      <c r="S27" s="6"/>
      <c r="T27" s="6">
        <v>0</v>
      </c>
      <c r="U27" s="6"/>
      <c r="V27" s="6">
        <v>0</v>
      </c>
      <c r="X27" s="6">
        <v>0</v>
      </c>
      <c r="Z27" s="6">
        <v>0</v>
      </c>
      <c r="AB27" s="6">
        <v>0</v>
      </c>
      <c r="AD27" s="6">
        <v>0</v>
      </c>
      <c r="AF27" s="6">
        <v>0</v>
      </c>
      <c r="AH27" s="6">
        <v>0</v>
      </c>
      <c r="AJ27" s="6">
        <v>0</v>
      </c>
      <c r="AL27" s="6">
        <v>0</v>
      </c>
      <c r="AN27" s="6">
        <v>0</v>
      </c>
      <c r="AP27" s="6">
        <v>0</v>
      </c>
      <c r="AR27" s="6">
        <v>0</v>
      </c>
      <c r="AT27" s="6">
        <v>0</v>
      </c>
      <c r="AV27" s="6">
        <v>0</v>
      </c>
      <c r="AX27" s="6">
        <v>0</v>
      </c>
      <c r="AZ27" s="6">
        <v>0</v>
      </c>
      <c r="BB27" s="6">
        <v>0</v>
      </c>
      <c r="BD27" s="6">
        <v>0</v>
      </c>
      <c r="BF27" s="6">
        <v>0</v>
      </c>
      <c r="BH27" s="6">
        <v>0</v>
      </c>
      <c r="BJ27" s="6">
        <v>0</v>
      </c>
      <c r="BL27" s="6">
        <v>0</v>
      </c>
      <c r="BM27" s="6"/>
      <c r="BN27" s="6">
        <f t="shared" si="3"/>
        <v>0</v>
      </c>
      <c r="BO27" s="6"/>
      <c r="BP27" s="6">
        <v>0</v>
      </c>
      <c r="BQ27" s="6"/>
      <c r="BR27" s="6">
        <f t="shared" si="2"/>
        <v>0</v>
      </c>
      <c r="BT27" s="6">
        <f t="shared" si="0"/>
        <v>0</v>
      </c>
      <c r="BV27" s="6">
        <f t="shared" si="1"/>
        <v>0</v>
      </c>
      <c r="BW27" s="6"/>
    </row>
    <row r="28" spans="1:75" hidden="1">
      <c r="A28" s="281"/>
      <c r="B28" s="17" t="s">
        <v>13</v>
      </c>
      <c r="C28"/>
      <c r="D28"/>
      <c r="E28"/>
      <c r="F28"/>
      <c r="G28"/>
      <c r="H28"/>
      <c r="I28"/>
      <c r="J28" s="49" t="s">
        <v>0</v>
      </c>
      <c r="K28"/>
      <c r="L28" s="132" t="s">
        <v>202</v>
      </c>
      <c r="M28" s="6"/>
      <c r="N28" s="6">
        <v>0</v>
      </c>
      <c r="O28" s="6"/>
      <c r="P28" s="6">
        <v>0</v>
      </c>
      <c r="Q28" s="6"/>
      <c r="R28" s="6">
        <f t="shared" si="4"/>
        <v>0</v>
      </c>
      <c r="S28" s="6"/>
      <c r="T28" s="6">
        <v>0</v>
      </c>
      <c r="U28" s="6"/>
      <c r="V28" s="6">
        <v>0</v>
      </c>
      <c r="X28" s="6">
        <v>0</v>
      </c>
      <c r="Z28" s="6">
        <v>0</v>
      </c>
      <c r="AB28" s="6">
        <v>0</v>
      </c>
      <c r="AD28" s="6">
        <v>0</v>
      </c>
      <c r="AF28" s="6">
        <v>0</v>
      </c>
      <c r="AH28" s="6">
        <v>0</v>
      </c>
      <c r="AJ28" s="6">
        <v>0</v>
      </c>
      <c r="AL28" s="6">
        <v>0</v>
      </c>
      <c r="AN28" s="6">
        <v>0</v>
      </c>
      <c r="AP28" s="6">
        <v>0</v>
      </c>
      <c r="AR28" s="6">
        <v>0</v>
      </c>
      <c r="AT28" s="6">
        <v>0</v>
      </c>
      <c r="AV28" s="6">
        <v>0</v>
      </c>
      <c r="AX28" s="6">
        <v>0</v>
      </c>
      <c r="AZ28" s="6">
        <v>0</v>
      </c>
      <c r="BB28" s="6">
        <v>0</v>
      </c>
      <c r="BD28" s="6">
        <v>0</v>
      </c>
      <c r="BF28" s="6">
        <v>0</v>
      </c>
      <c r="BH28" s="6">
        <v>0</v>
      </c>
      <c r="BJ28" s="6">
        <v>0</v>
      </c>
      <c r="BL28" s="6">
        <v>0</v>
      </c>
      <c r="BM28" s="6"/>
      <c r="BN28" s="6">
        <f t="shared" si="3"/>
        <v>0</v>
      </c>
      <c r="BO28" s="6"/>
      <c r="BP28" s="6">
        <v>0</v>
      </c>
      <c r="BQ28" s="6"/>
      <c r="BR28" s="6">
        <f t="shared" si="2"/>
        <v>0</v>
      </c>
      <c r="BT28" s="6">
        <f t="shared" si="0"/>
        <v>0</v>
      </c>
      <c r="BV28" s="6">
        <f t="shared" si="1"/>
        <v>0</v>
      </c>
      <c r="BW28" s="6"/>
    </row>
    <row r="29" spans="1:75" s="11" customFormat="1" hidden="1">
      <c r="A29" s="100"/>
      <c r="B29" s="17" t="s">
        <v>14</v>
      </c>
      <c r="C29" s="30"/>
      <c r="D29" s="30"/>
      <c r="E29" s="30"/>
      <c r="F29" s="30"/>
      <c r="G29" s="30"/>
      <c r="H29" s="30"/>
      <c r="I29" s="30"/>
      <c r="J29" s="49" t="s">
        <v>0</v>
      </c>
      <c r="K29" s="30"/>
      <c r="L29" s="132" t="s">
        <v>202</v>
      </c>
      <c r="M29" s="12"/>
      <c r="N29" s="12">
        <v>0</v>
      </c>
      <c r="O29" s="12"/>
      <c r="P29" s="12">
        <v>0</v>
      </c>
      <c r="Q29" s="12"/>
      <c r="R29" s="6">
        <f t="shared" si="4"/>
        <v>0</v>
      </c>
      <c r="S29" s="12"/>
      <c r="T29" s="12">
        <v>0</v>
      </c>
      <c r="U29" s="12"/>
      <c r="V29" s="12">
        <v>0</v>
      </c>
      <c r="W29" s="12"/>
      <c r="X29" s="12">
        <v>0</v>
      </c>
      <c r="Y29" s="12"/>
      <c r="Z29" s="12">
        <v>0</v>
      </c>
      <c r="AA29" s="12"/>
      <c r="AB29" s="12">
        <v>0</v>
      </c>
      <c r="AC29" s="12"/>
      <c r="AD29" s="12">
        <v>0</v>
      </c>
      <c r="AE29" s="12"/>
      <c r="AF29" s="12">
        <v>0</v>
      </c>
      <c r="AG29" s="12"/>
      <c r="AH29" s="12">
        <v>0</v>
      </c>
      <c r="AI29" s="12"/>
      <c r="AJ29" s="12">
        <v>0</v>
      </c>
      <c r="AK29" s="12"/>
      <c r="AL29" s="12">
        <v>0</v>
      </c>
      <c r="AM29" s="12"/>
      <c r="AN29" s="12">
        <v>0</v>
      </c>
      <c r="AO29" s="12"/>
      <c r="AP29" s="12">
        <v>0</v>
      </c>
      <c r="AQ29" s="12"/>
      <c r="AR29" s="12">
        <v>0</v>
      </c>
      <c r="AS29" s="12"/>
      <c r="AT29" s="12">
        <v>0</v>
      </c>
      <c r="AU29" s="12"/>
      <c r="AV29" s="12">
        <v>0</v>
      </c>
      <c r="AW29" s="12"/>
      <c r="AX29" s="12">
        <v>0</v>
      </c>
      <c r="AY29" s="12"/>
      <c r="AZ29" s="12">
        <v>0</v>
      </c>
      <c r="BA29" s="12"/>
      <c r="BB29" s="12">
        <v>0</v>
      </c>
      <c r="BC29" s="12"/>
      <c r="BD29" s="12">
        <v>0</v>
      </c>
      <c r="BE29" s="12"/>
      <c r="BF29" s="12">
        <v>0</v>
      </c>
      <c r="BG29" s="12"/>
      <c r="BH29" s="12">
        <v>0</v>
      </c>
      <c r="BI29" s="12"/>
      <c r="BJ29" s="12">
        <v>0</v>
      </c>
      <c r="BK29" s="12"/>
      <c r="BL29" s="12">
        <v>0</v>
      </c>
      <c r="BM29" s="12"/>
      <c r="BN29" s="6">
        <f t="shared" si="3"/>
        <v>0</v>
      </c>
      <c r="BO29" s="12"/>
      <c r="BP29" s="12">
        <v>0</v>
      </c>
      <c r="BQ29" s="12"/>
      <c r="BR29" s="6">
        <f t="shared" si="2"/>
        <v>0</v>
      </c>
      <c r="BS29" s="12"/>
      <c r="BT29" s="6">
        <f t="shared" si="0"/>
        <v>0</v>
      </c>
      <c r="BU29" s="12"/>
      <c r="BV29" s="6">
        <f t="shared" si="1"/>
        <v>0</v>
      </c>
      <c r="BW29" s="12"/>
    </row>
    <row r="30" spans="1:75">
      <c r="A30" s="100"/>
      <c r="B30" s="17" t="s">
        <v>121</v>
      </c>
      <c r="C30"/>
      <c r="D30"/>
      <c r="E30"/>
      <c r="F30"/>
      <c r="G30"/>
      <c r="H30"/>
      <c r="I30"/>
      <c r="J30" s="49" t="s">
        <v>0</v>
      </c>
      <c r="K30"/>
      <c r="L30" s="132" t="s">
        <v>202</v>
      </c>
      <c r="M30" s="6"/>
      <c r="N30" s="12">
        <v>0</v>
      </c>
      <c r="O30" s="6"/>
      <c r="P30" s="12">
        <v>0</v>
      </c>
      <c r="Q30" s="6"/>
      <c r="R30" s="6">
        <v>0</v>
      </c>
      <c r="S30" s="6"/>
      <c r="T30" s="12">
        <v>0</v>
      </c>
      <c r="U30" s="12"/>
      <c r="V30" s="12">
        <v>0</v>
      </c>
      <c r="W30" s="12"/>
      <c r="X30" s="12">
        <v>0</v>
      </c>
      <c r="Y30" s="12"/>
      <c r="Z30" s="12">
        <v>0</v>
      </c>
      <c r="AA30" s="12"/>
      <c r="AB30" s="12">
        <v>0</v>
      </c>
      <c r="AC30" s="12"/>
      <c r="AD30" s="12"/>
      <c r="AE30" s="12"/>
      <c r="AF30" s="12">
        <v>0</v>
      </c>
      <c r="AG30" s="12"/>
      <c r="AH30" s="12">
        <v>0</v>
      </c>
      <c r="AI30" s="12"/>
      <c r="AJ30" s="12">
        <v>0</v>
      </c>
      <c r="AK30" s="12"/>
      <c r="AL30" s="12">
        <v>0</v>
      </c>
      <c r="AM30" s="12"/>
      <c r="AN30" s="12">
        <v>0</v>
      </c>
      <c r="AO30" s="12"/>
      <c r="AP30" s="12">
        <v>0</v>
      </c>
      <c r="AQ30" s="12"/>
      <c r="AR30" s="12">
        <v>0</v>
      </c>
      <c r="AS30" s="12"/>
      <c r="AT30" s="12">
        <v>0</v>
      </c>
      <c r="AU30" s="12"/>
      <c r="AV30" s="12">
        <v>0</v>
      </c>
      <c r="AW30" s="12"/>
      <c r="AX30" s="12">
        <v>0</v>
      </c>
      <c r="AY30" s="12"/>
      <c r="AZ30" s="12">
        <v>0</v>
      </c>
      <c r="BA30" s="12"/>
      <c r="BB30" s="12">
        <v>0</v>
      </c>
      <c r="BC30" s="12"/>
      <c r="BD30" s="12">
        <v>0</v>
      </c>
      <c r="BE30" s="12"/>
      <c r="BF30" s="12">
        <v>0</v>
      </c>
      <c r="BG30" s="12"/>
      <c r="BH30" s="12">
        <v>0</v>
      </c>
      <c r="BI30" s="12"/>
      <c r="BJ30" s="12">
        <v>0</v>
      </c>
      <c r="BK30" s="12"/>
      <c r="BL30" s="12">
        <v>0</v>
      </c>
      <c r="BM30" s="6"/>
      <c r="BN30" s="6">
        <f t="shared" si="3"/>
        <v>0</v>
      </c>
      <c r="BO30" s="6"/>
      <c r="BP30" s="12">
        <v>0</v>
      </c>
      <c r="BQ30" s="6"/>
      <c r="BR30" s="6">
        <f t="shared" si="2"/>
        <v>0</v>
      </c>
      <c r="BT30" s="6">
        <f t="shared" si="0"/>
        <v>0</v>
      </c>
      <c r="BV30" s="6">
        <f t="shared" si="1"/>
        <v>0</v>
      </c>
      <c r="BW30" s="12"/>
    </row>
    <row r="31" spans="1:75">
      <c r="A31" s="100"/>
      <c r="B31" s="17"/>
      <c r="C31"/>
      <c r="D31"/>
      <c r="E31"/>
      <c r="F31"/>
      <c r="G31"/>
      <c r="H31"/>
      <c r="I31"/>
      <c r="J31" s="49"/>
      <c r="K31"/>
      <c r="L31" s="132"/>
      <c r="M31" s="6"/>
      <c r="N31" s="12"/>
      <c r="O31" s="6"/>
      <c r="P31" s="12"/>
      <c r="Q31" s="6"/>
      <c r="R31" s="12"/>
      <c r="S31" s="6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6"/>
      <c r="BN31" s="12"/>
      <c r="BO31" s="6"/>
      <c r="BP31" s="12"/>
      <c r="BQ31" s="6"/>
      <c r="BR31" s="6">
        <f t="shared" si="2"/>
        <v>0</v>
      </c>
      <c r="BT31" s="6">
        <f t="shared" si="0"/>
        <v>0</v>
      </c>
      <c r="BV31" s="6">
        <f t="shared" si="1"/>
        <v>0</v>
      </c>
      <c r="BW31" s="12"/>
    </row>
    <row r="32" spans="1:75">
      <c r="A32" s="100"/>
      <c r="B32" s="17" t="s">
        <v>226</v>
      </c>
      <c r="C32"/>
      <c r="D32"/>
      <c r="E32"/>
      <c r="F32"/>
      <c r="G32"/>
      <c r="H32"/>
      <c r="I32"/>
      <c r="J32" s="49"/>
      <c r="K32"/>
      <c r="L32" s="132"/>
      <c r="M32" s="6"/>
      <c r="N32" s="101">
        <f>SUM(N14:N31)</f>
        <v>0</v>
      </c>
      <c r="O32" s="6"/>
      <c r="P32" s="101">
        <f>SUM(P14:P31)</f>
        <v>0</v>
      </c>
      <c r="Q32" s="6"/>
      <c r="R32" s="101">
        <f>SUM(R14:R31)</f>
        <v>4362054</v>
      </c>
      <c r="S32" s="6"/>
      <c r="T32" s="101">
        <f>SUM(T14:T31)</f>
        <v>0</v>
      </c>
      <c r="U32" s="12"/>
      <c r="V32" s="101">
        <f>SUM(V14:V31)</f>
        <v>0</v>
      </c>
      <c r="W32" s="12"/>
      <c r="X32" s="101">
        <f>SUM(X14:X31)</f>
        <v>0</v>
      </c>
      <c r="Y32" s="12"/>
      <c r="Z32" s="101">
        <f>SUM(Z14:Z31)</f>
        <v>0</v>
      </c>
      <c r="AA32" s="12"/>
      <c r="AB32" s="101">
        <f>SUM(AB14:AB31)</f>
        <v>0</v>
      </c>
      <c r="AC32" s="12"/>
      <c r="AD32" s="101">
        <f>SUM(AD14:AD31)</f>
        <v>0</v>
      </c>
      <c r="AE32" s="12"/>
      <c r="AF32" s="101">
        <f>SUM(AF14:AF31)</f>
        <v>0</v>
      </c>
      <c r="AG32" s="12"/>
      <c r="AH32" s="101">
        <f>SUM(AH14:AH31)</f>
        <v>259882.7</v>
      </c>
      <c r="AI32" s="12"/>
      <c r="AJ32" s="101">
        <f>SUM(AJ14:AJ31)</f>
        <v>350000</v>
      </c>
      <c r="AK32" s="12"/>
      <c r="AL32" s="101">
        <f>SUM(AL14:AL31)</f>
        <v>935</v>
      </c>
      <c r="AM32" s="12"/>
      <c r="AN32" s="101">
        <f>SUM(AN14:AN31)</f>
        <v>655033.1</v>
      </c>
      <c r="AO32" s="12"/>
      <c r="AP32" s="101">
        <f>SUM(AP14:AP31)</f>
        <v>0</v>
      </c>
      <c r="AQ32" s="12"/>
      <c r="AR32" s="101">
        <f>SUM(AR14:AR31)</f>
        <v>1190506.2</v>
      </c>
      <c r="AS32" s="12"/>
      <c r="AT32" s="101">
        <f>SUM(AT14:AT31)</f>
        <v>1190506.2</v>
      </c>
      <c r="AU32" s="12"/>
      <c r="AV32" s="101">
        <f>SUM(AV14:AV31)</f>
        <v>0</v>
      </c>
      <c r="AW32" s="12"/>
      <c r="AX32" s="101">
        <f>SUM(AX14:AX31)</f>
        <v>612336</v>
      </c>
      <c r="AY32" s="12"/>
      <c r="AZ32" s="101">
        <f>SUM(AZ14:AZ31)</f>
        <v>0</v>
      </c>
      <c r="BA32" s="12"/>
      <c r="BB32" s="101">
        <f>SUM(BB14:BB31)</f>
        <v>396835.4</v>
      </c>
      <c r="BC32" s="12"/>
      <c r="BD32" s="101">
        <f>SUM(BD14:BD31)</f>
        <v>0</v>
      </c>
      <c r="BE32" s="12"/>
      <c r="BF32" s="101">
        <f>SUM(BF14:BF31)</f>
        <v>0</v>
      </c>
      <c r="BG32" s="12"/>
      <c r="BH32" s="101">
        <f>SUM(BH14:BH31)</f>
        <v>0</v>
      </c>
      <c r="BI32" s="12"/>
      <c r="BJ32" s="101">
        <f>SUM(BJ14:BJ31)</f>
        <v>0</v>
      </c>
      <c r="BK32" s="12"/>
      <c r="BL32" s="101">
        <f>SUM(BL14:BL31)</f>
        <v>0</v>
      </c>
      <c r="BM32" s="6"/>
      <c r="BN32" s="101">
        <f>SUM(BN14:BN31)</f>
        <v>4656034.6000000006</v>
      </c>
      <c r="BO32" s="6"/>
      <c r="BP32" s="101">
        <f>SUM(BP14:BP31)</f>
        <v>293980</v>
      </c>
      <c r="BQ32" s="6"/>
      <c r="BR32" s="101">
        <f>SUM(BR14:BR31)</f>
        <v>134500</v>
      </c>
      <c r="BT32" s="101">
        <f>SUM(BT14:BT31)</f>
        <v>4790534.6000000006</v>
      </c>
      <c r="BV32" s="101">
        <f>SUM(BV14:BV31)</f>
        <v>-428480.60000000056</v>
      </c>
      <c r="BW32" s="12"/>
    </row>
    <row r="33" spans="1:75">
      <c r="A33" s="100"/>
      <c r="B33" s="17"/>
      <c r="C33"/>
      <c r="D33"/>
      <c r="E33"/>
      <c r="F33"/>
      <c r="G33"/>
      <c r="H33"/>
      <c r="I33"/>
      <c r="J33" s="49"/>
      <c r="K33"/>
      <c r="L33" s="132"/>
      <c r="M33" s="6"/>
      <c r="N33" s="12"/>
      <c r="O33" s="6"/>
      <c r="P33" s="12"/>
      <c r="Q33" s="6"/>
      <c r="R33" s="12"/>
      <c r="S33" s="6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6"/>
      <c r="BN33" s="12"/>
      <c r="BO33" s="6"/>
      <c r="BP33" s="12"/>
      <c r="BQ33" s="6"/>
      <c r="BR33" s="12"/>
      <c r="BT33" s="12"/>
      <c r="BV33" s="12"/>
      <c r="BW33" s="12"/>
    </row>
    <row r="34" spans="1:75" s="114" customFormat="1">
      <c r="A34" s="282"/>
      <c r="B34" s="113" t="s">
        <v>15</v>
      </c>
      <c r="J34" s="154"/>
      <c r="L34" s="140"/>
      <c r="M34" s="115"/>
      <c r="N34" s="115">
        <f>+N32+N12</f>
        <v>93330000</v>
      </c>
      <c r="O34" s="115"/>
      <c r="P34" s="115">
        <f>+P32+P12</f>
        <v>0</v>
      </c>
      <c r="Q34" s="115"/>
      <c r="R34" s="115">
        <f>+R32+R12</f>
        <v>90283554</v>
      </c>
      <c r="S34" s="115"/>
      <c r="T34" s="115">
        <f>+T32+T12</f>
        <v>16673400</v>
      </c>
      <c r="U34" s="115"/>
      <c r="V34" s="115">
        <f>+V32+V12</f>
        <v>43401650</v>
      </c>
      <c r="W34" s="115"/>
      <c r="X34" s="115">
        <f>+X32+X12</f>
        <v>4291075</v>
      </c>
      <c r="Y34" s="115"/>
      <c r="Z34" s="115">
        <f>+Z32+Z12</f>
        <v>0</v>
      </c>
      <c r="AA34" s="115"/>
      <c r="AB34" s="115">
        <f>+AB32+AB12</f>
        <v>4291075</v>
      </c>
      <c r="AC34" s="115"/>
      <c r="AD34" s="115">
        <f>+AD32+AD12</f>
        <v>8617667</v>
      </c>
      <c r="AE34" s="115"/>
      <c r="AF34" s="115">
        <f>+AF32+AF12</f>
        <v>0</v>
      </c>
      <c r="AG34" s="115"/>
      <c r="AH34" s="115">
        <f>+AH32+AH12</f>
        <v>259882.7</v>
      </c>
      <c r="AI34" s="115"/>
      <c r="AJ34" s="115">
        <f>+AJ32+AJ12</f>
        <v>668420.9</v>
      </c>
      <c r="AK34" s="115"/>
      <c r="AL34" s="115">
        <f>+AL32+AL12</f>
        <v>935</v>
      </c>
      <c r="AM34" s="115"/>
      <c r="AN34" s="115">
        <f>+AN32+AN12</f>
        <v>655033.1</v>
      </c>
      <c r="AO34" s="115"/>
      <c r="AP34" s="115">
        <f>+AP32+AP12</f>
        <v>39600</v>
      </c>
      <c r="AQ34" s="115"/>
      <c r="AR34" s="115">
        <f>+AR32+AR12</f>
        <v>2268247.46</v>
      </c>
      <c r="AS34" s="115"/>
      <c r="AT34" s="115">
        <f>+AT32+AT12</f>
        <v>2268247.46</v>
      </c>
      <c r="AU34" s="115"/>
      <c r="AV34" s="115">
        <f>+AV32+AV12</f>
        <v>2155482.52</v>
      </c>
      <c r="AW34" s="115"/>
      <c r="AX34" s="115">
        <f>+AX32+AX12</f>
        <v>612336</v>
      </c>
      <c r="AY34" s="115"/>
      <c r="AZ34" s="115">
        <f>+AZ32+AZ12</f>
        <v>0</v>
      </c>
      <c r="BA34" s="115"/>
      <c r="BB34" s="115">
        <f>+BB32+BB12</f>
        <v>396835.4</v>
      </c>
      <c r="BC34" s="115"/>
      <c r="BD34" s="115">
        <f>+BD32+BD12</f>
        <v>4444135.9000000004</v>
      </c>
      <c r="BE34" s="115"/>
      <c r="BF34" s="115">
        <f>+BF32+BF12</f>
        <v>0</v>
      </c>
      <c r="BG34" s="115"/>
      <c r="BH34" s="115">
        <f>+BH32+BH12</f>
        <v>0</v>
      </c>
      <c r="BI34" s="115"/>
      <c r="BJ34" s="115">
        <f>+BJ32+BJ12</f>
        <v>0</v>
      </c>
      <c r="BK34" s="115"/>
      <c r="BL34" s="115">
        <f>+BL32+BL12</f>
        <v>0</v>
      </c>
      <c r="BM34" s="115"/>
      <c r="BN34" s="115">
        <f>+BN32+BN12</f>
        <v>91044023.440000013</v>
      </c>
      <c r="BO34" s="115"/>
      <c r="BP34" s="115">
        <f>+BP32+BP12</f>
        <v>1260469</v>
      </c>
      <c r="BQ34" s="115"/>
      <c r="BR34" s="115">
        <f>+BR32+BR12</f>
        <v>634500.15999998152</v>
      </c>
      <c r="BS34" s="115"/>
      <c r="BT34" s="115">
        <f>+BT32+BT12</f>
        <v>91678523.599999994</v>
      </c>
      <c r="BU34" s="115"/>
      <c r="BV34" s="115">
        <f>+BV32+BV12</f>
        <v>-1394969.6000000006</v>
      </c>
      <c r="BW34" s="115"/>
    </row>
    <row r="35" spans="1:75">
      <c r="A35" s="100"/>
      <c r="B35" s="79"/>
      <c r="C35"/>
      <c r="D35"/>
      <c r="E35"/>
      <c r="F35"/>
      <c r="G35"/>
      <c r="H35"/>
      <c r="I35"/>
      <c r="J35" s="49"/>
      <c r="K35"/>
      <c r="L35" s="132"/>
      <c r="M35" s="6"/>
      <c r="O35" s="6"/>
      <c r="Q35" s="6"/>
      <c r="S35" s="6"/>
      <c r="T35" s="6"/>
      <c r="U35" s="6"/>
      <c r="V35" s="6"/>
      <c r="X35" s="6"/>
      <c r="Z35" s="6"/>
      <c r="AB35" s="6"/>
      <c r="AD35" s="6"/>
      <c r="BJ35" s="6"/>
      <c r="BL35" s="6"/>
      <c r="BM35" s="6"/>
      <c r="BO35" s="6"/>
      <c r="BP35" s="6"/>
      <c r="BQ35" s="6"/>
      <c r="BW35" s="6"/>
    </row>
    <row r="36" spans="1:75">
      <c r="A36" s="100"/>
      <c r="B36" s="17"/>
      <c r="C36"/>
      <c r="D36"/>
      <c r="E36"/>
      <c r="F36"/>
      <c r="G36"/>
      <c r="H36"/>
      <c r="I36"/>
      <c r="J36" s="49"/>
      <c r="K36"/>
      <c r="L36" s="132"/>
      <c r="M36" s="6"/>
      <c r="O36" s="6"/>
      <c r="Q36" s="6"/>
      <c r="S36" s="6"/>
      <c r="T36" s="6"/>
      <c r="U36" s="6"/>
      <c r="V36" s="6"/>
      <c r="X36" s="6"/>
      <c r="Z36" s="6"/>
      <c r="AB36" s="6"/>
      <c r="AD36" s="6"/>
      <c r="BJ36" s="6"/>
      <c r="BL36" s="6"/>
      <c r="BM36" s="6"/>
      <c r="BO36" s="6"/>
      <c r="BP36" s="6"/>
      <c r="BQ36" s="6"/>
      <c r="BW36" s="6"/>
    </row>
    <row r="37" spans="1:75">
      <c r="A37" s="58" t="s">
        <v>234</v>
      </c>
      <c r="B37" s="17"/>
      <c r="C37"/>
      <c r="D37"/>
      <c r="E37"/>
      <c r="F37"/>
      <c r="G37"/>
      <c r="H37"/>
      <c r="I37"/>
      <c r="J37" s="49"/>
      <c r="K37"/>
      <c r="L37" s="132"/>
      <c r="M37" s="6"/>
      <c r="O37" s="6"/>
      <c r="Q37" s="6"/>
      <c r="S37" s="6"/>
      <c r="T37" s="6"/>
      <c r="U37" s="6"/>
      <c r="V37" s="6"/>
      <c r="X37" s="6"/>
      <c r="Z37" s="6"/>
      <c r="AB37" s="6"/>
      <c r="AD37" s="6"/>
      <c r="AI37"/>
      <c r="AK37"/>
      <c r="AM37"/>
      <c r="BJ37" s="6"/>
      <c r="BL37" s="6"/>
      <c r="BM37" s="6"/>
      <c r="BO37" s="6"/>
      <c r="BP37" s="6"/>
      <c r="BQ37" s="6"/>
      <c r="BW37" s="6"/>
    </row>
    <row r="38" spans="1:75">
      <c r="A38" s="100"/>
      <c r="B38" s="17"/>
      <c r="C38"/>
      <c r="D38"/>
      <c r="E38"/>
      <c r="F38"/>
      <c r="G38"/>
      <c r="H38"/>
      <c r="I38"/>
      <c r="J38" s="49"/>
      <c r="K38"/>
      <c r="L38" s="132"/>
      <c r="M38" s="6"/>
      <c r="O38" s="6"/>
      <c r="Q38" s="6"/>
      <c r="S38" s="6"/>
      <c r="T38" s="6">
        <v>0</v>
      </c>
      <c r="U38" s="6"/>
      <c r="V38" s="6">
        <v>0</v>
      </c>
      <c r="X38" s="6">
        <v>0</v>
      </c>
      <c r="Z38" s="6">
        <v>0</v>
      </c>
      <c r="AB38" s="6">
        <v>0</v>
      </c>
      <c r="AD38" s="6">
        <v>0</v>
      </c>
      <c r="AF38" s="6">
        <v>0</v>
      </c>
      <c r="AH38" s="6">
        <v>0</v>
      </c>
      <c r="AI38"/>
      <c r="AJ38" s="6">
        <v>0</v>
      </c>
      <c r="AK38"/>
      <c r="AL38" s="6">
        <v>0</v>
      </c>
      <c r="AM38"/>
      <c r="AN38" s="6">
        <v>0</v>
      </c>
      <c r="AP38" s="6">
        <v>0</v>
      </c>
      <c r="AR38" s="6">
        <v>0</v>
      </c>
      <c r="AT38" s="6">
        <v>0</v>
      </c>
      <c r="AV38" s="6">
        <v>0</v>
      </c>
      <c r="AX38" s="6">
        <v>0</v>
      </c>
      <c r="AZ38" s="6">
        <v>0</v>
      </c>
      <c r="BB38" s="6">
        <v>0</v>
      </c>
      <c r="BD38" s="6">
        <v>0</v>
      </c>
      <c r="BF38" s="6">
        <v>0</v>
      </c>
      <c r="BH38" s="6">
        <v>0</v>
      </c>
      <c r="BJ38" s="6">
        <v>0</v>
      </c>
      <c r="BL38" s="6">
        <v>0</v>
      </c>
      <c r="BM38" s="6"/>
      <c r="BO38" s="6"/>
      <c r="BP38" s="6"/>
      <c r="BQ38" s="6"/>
      <c r="BW38" s="6"/>
    </row>
    <row r="39" spans="1:75">
      <c r="A39" s="100"/>
      <c r="B39" s="228" t="s">
        <v>295</v>
      </c>
      <c r="C39"/>
      <c r="D39"/>
      <c r="E39"/>
      <c r="F39"/>
      <c r="G39"/>
      <c r="H39"/>
      <c r="I39"/>
      <c r="J39" s="49"/>
      <c r="K39"/>
      <c r="L39" s="132"/>
      <c r="M39" s="6"/>
      <c r="O39" s="6"/>
      <c r="Q39" s="6"/>
      <c r="S39" s="6"/>
      <c r="T39" s="6"/>
      <c r="U39" s="6"/>
      <c r="V39" s="6"/>
      <c r="X39" s="6"/>
      <c r="Z39" s="6"/>
      <c r="AB39" s="6"/>
      <c r="AD39" s="6"/>
      <c r="AI39"/>
      <c r="AK39"/>
      <c r="AM39"/>
      <c r="BJ39" s="6"/>
      <c r="BL39" s="6"/>
      <c r="BM39" s="6"/>
      <c r="BO39" s="6"/>
      <c r="BP39" s="6"/>
      <c r="BQ39" s="6"/>
      <c r="BW39" s="6"/>
    </row>
    <row r="40" spans="1:75">
      <c r="A40" s="100"/>
      <c r="B40" s="229" t="s">
        <v>293</v>
      </c>
      <c r="C40"/>
      <c r="D40"/>
      <c r="E40"/>
      <c r="F40"/>
      <c r="G40"/>
      <c r="H40"/>
      <c r="I40"/>
      <c r="J40" s="49" t="s">
        <v>229</v>
      </c>
      <c r="K40"/>
      <c r="L40" s="132" t="s">
        <v>202</v>
      </c>
      <c r="M40" s="6"/>
      <c r="O40" s="6"/>
      <c r="Q40" s="6"/>
      <c r="R40" s="231">
        <v>1132854</v>
      </c>
      <c r="S40" s="6"/>
      <c r="T40" s="6"/>
      <c r="U40" s="6"/>
      <c r="V40" s="6"/>
      <c r="X40" s="6"/>
      <c r="Z40" s="6"/>
      <c r="AB40" s="6"/>
      <c r="AD40" s="6"/>
      <c r="AI40"/>
      <c r="AK40"/>
      <c r="AM40"/>
      <c r="AP40" s="6">
        <v>19960</v>
      </c>
      <c r="AT40" s="6">
        <f>128593-19960</f>
        <v>108633</v>
      </c>
      <c r="AX40" s="6">
        <f>434961-128593</f>
        <v>306368</v>
      </c>
      <c r="BJ40" s="6"/>
      <c r="BL40" s="6"/>
      <c r="BM40" s="6"/>
      <c r="BN40" s="6">
        <f t="shared" ref="BN40:BN47" si="5">SUM(T40:BM40)</f>
        <v>434961</v>
      </c>
      <c r="BO40" s="6"/>
      <c r="BP40" s="6">
        <f>1164271-1132835</f>
        <v>31436</v>
      </c>
      <c r="BQ40" s="6"/>
      <c r="BR40" s="6">
        <f t="shared" ref="BR40:BR47" si="6">IF(+R40-BN40+BP40&gt;0,R40-BN40+BP40,0)</f>
        <v>729329</v>
      </c>
      <c r="BT40" s="6">
        <f t="shared" ref="BT40:BT47" si="7">+BN40+BR40</f>
        <v>1164290</v>
      </c>
      <c r="BV40" s="6">
        <f>+R40-BT40</f>
        <v>-31436</v>
      </c>
      <c r="BW40" s="6"/>
    </row>
    <row r="41" spans="1:75">
      <c r="A41" s="100"/>
      <c r="B41" s="229" t="s">
        <v>382</v>
      </c>
      <c r="C41"/>
      <c r="D41"/>
      <c r="E41"/>
      <c r="F41"/>
      <c r="G41"/>
      <c r="H41"/>
      <c r="I41"/>
      <c r="J41" s="49" t="s">
        <v>229</v>
      </c>
      <c r="K41"/>
      <c r="L41" s="132" t="s">
        <v>202</v>
      </c>
      <c r="M41" s="6"/>
      <c r="O41" s="6"/>
      <c r="Q41" s="6"/>
      <c r="R41" s="231">
        <v>1580972</v>
      </c>
      <c r="S41" s="6"/>
      <c r="T41" s="6"/>
      <c r="U41" s="6"/>
      <c r="V41" s="6"/>
      <c r="X41" s="6"/>
      <c r="Z41" s="6"/>
      <c r="AB41" s="6"/>
      <c r="AD41" s="6"/>
      <c r="AI41"/>
      <c r="AK41"/>
      <c r="AM41"/>
      <c r="AP41" s="6">
        <f>77323+10575</f>
        <v>87898</v>
      </c>
      <c r="AT41" s="6">
        <f>399600-77323+12402</f>
        <v>334679</v>
      </c>
      <c r="AX41" s="6">
        <f>717041-422577</f>
        <v>294464</v>
      </c>
      <c r="BJ41" s="6"/>
      <c r="BL41" s="6"/>
      <c r="BM41" s="6"/>
      <c r="BN41" s="6">
        <f t="shared" si="5"/>
        <v>717041</v>
      </c>
      <c r="BO41" s="6"/>
      <c r="BP41" s="6">
        <f>2003210-1580972</f>
        <v>422238</v>
      </c>
      <c r="BQ41" s="6"/>
      <c r="BR41" s="6">
        <f t="shared" si="6"/>
        <v>1286169</v>
      </c>
      <c r="BT41" s="6">
        <f t="shared" si="7"/>
        <v>2003210</v>
      </c>
      <c r="BV41" s="6">
        <f t="shared" ref="BV41:BV46" si="8">+R41-BT41</f>
        <v>-422238</v>
      </c>
      <c r="BW41" s="6"/>
    </row>
    <row r="42" spans="1:75">
      <c r="A42" s="100"/>
      <c r="B42" s="229" t="s">
        <v>383</v>
      </c>
      <c r="C42"/>
      <c r="D42"/>
      <c r="E42"/>
      <c r="F42"/>
      <c r="G42"/>
      <c r="H42"/>
      <c r="I42"/>
      <c r="J42" s="49" t="s">
        <v>229</v>
      </c>
      <c r="K42"/>
      <c r="L42" s="132" t="s">
        <v>202</v>
      </c>
      <c r="M42" s="6"/>
      <c r="O42" s="6"/>
      <c r="Q42" s="6"/>
      <c r="R42" s="231">
        <v>8636948</v>
      </c>
      <c r="S42" s="6"/>
      <c r="T42" s="6"/>
      <c r="U42" s="6"/>
      <c r="V42" s="6"/>
      <c r="X42" s="6"/>
      <c r="Z42" s="6"/>
      <c r="AB42" s="6"/>
      <c r="AD42" s="6"/>
      <c r="AI42"/>
      <c r="AK42"/>
      <c r="AM42"/>
      <c r="AP42" s="6">
        <f>54748+22150+123159+88926+47401+83850</f>
        <v>420234</v>
      </c>
      <c r="AT42" s="6">
        <f>515063-54748+112868+268862+74246+31002+606132+21454</f>
        <v>1574879</v>
      </c>
      <c r="AX42" s="6">
        <f>3988889-1973659-21454</f>
        <v>1993776</v>
      </c>
      <c r="BJ42" s="6"/>
      <c r="BL42" s="6"/>
      <c r="BM42" s="6"/>
      <c r="BN42" s="6">
        <f t="shared" si="5"/>
        <v>3988889</v>
      </c>
      <c r="BO42" s="6"/>
      <c r="BP42" s="6">
        <f>9627760-8636947</f>
        <v>990813</v>
      </c>
      <c r="BQ42" s="6"/>
      <c r="BR42" s="6">
        <f t="shared" si="6"/>
        <v>5638872</v>
      </c>
      <c r="BT42" s="6">
        <f t="shared" si="7"/>
        <v>9627761</v>
      </c>
      <c r="BV42" s="6">
        <f t="shared" si="8"/>
        <v>-990813</v>
      </c>
      <c r="BW42" s="6"/>
    </row>
    <row r="43" spans="1:75">
      <c r="A43" s="100"/>
      <c r="B43" s="229" t="s">
        <v>22</v>
      </c>
      <c r="C43"/>
      <c r="D43"/>
      <c r="E43"/>
      <c r="F43"/>
      <c r="G43"/>
      <c r="H43"/>
      <c r="I43"/>
      <c r="J43" s="49" t="s">
        <v>229</v>
      </c>
      <c r="K43"/>
      <c r="L43" s="132" t="s">
        <v>202</v>
      </c>
      <c r="M43" s="6"/>
      <c r="N43" s="6">
        <v>0</v>
      </c>
      <c r="O43" s="6"/>
      <c r="P43" s="6">
        <v>0</v>
      </c>
      <c r="Q43" s="6"/>
      <c r="R43" s="231">
        <v>384721</v>
      </c>
      <c r="S43" s="6"/>
      <c r="T43" s="6">
        <v>0</v>
      </c>
      <c r="U43" s="6"/>
      <c r="V43" s="6">
        <v>0</v>
      </c>
      <c r="X43" s="6">
        <v>0</v>
      </c>
      <c r="Z43" s="6">
        <v>0</v>
      </c>
      <c r="AB43" s="6">
        <v>0</v>
      </c>
      <c r="AD43" s="6">
        <v>0</v>
      </c>
      <c r="AF43" s="6">
        <v>0</v>
      </c>
      <c r="AH43" s="6">
        <v>0</v>
      </c>
      <c r="AI43"/>
      <c r="AJ43" s="6">
        <v>0</v>
      </c>
      <c r="AK43"/>
      <c r="AL43" s="6">
        <v>0</v>
      </c>
      <c r="AM43"/>
      <c r="AN43" s="6">
        <v>0</v>
      </c>
      <c r="AP43" s="6">
        <v>84553</v>
      </c>
      <c r="AR43" s="6">
        <v>0</v>
      </c>
      <c r="AT43" s="6">
        <f>179861-84553</f>
        <v>95308</v>
      </c>
      <c r="AV43" s="6">
        <v>0</v>
      </c>
      <c r="AX43" s="6">
        <f>421749-179861</f>
        <v>241888</v>
      </c>
      <c r="AZ43" s="6">
        <v>0</v>
      </c>
      <c r="BB43" s="6">
        <v>0</v>
      </c>
      <c r="BD43" s="6">
        <v>0</v>
      </c>
      <c r="BF43" s="6">
        <v>0</v>
      </c>
      <c r="BH43" s="6">
        <v>0</v>
      </c>
      <c r="BJ43" s="6">
        <v>0</v>
      </c>
      <c r="BL43" s="6">
        <v>0</v>
      </c>
      <c r="BM43" s="6"/>
      <c r="BN43" s="6">
        <f t="shared" si="5"/>
        <v>421749</v>
      </c>
      <c r="BO43" s="6"/>
      <c r="BP43" s="6">
        <f>465690-384721</f>
        <v>80969</v>
      </c>
      <c r="BQ43" s="6"/>
      <c r="BR43" s="6">
        <f t="shared" si="6"/>
        <v>43941</v>
      </c>
      <c r="BT43" s="6">
        <f t="shared" si="7"/>
        <v>465690</v>
      </c>
      <c r="BV43" s="6">
        <f t="shared" si="8"/>
        <v>-80969</v>
      </c>
      <c r="BW43" s="6"/>
    </row>
    <row r="44" spans="1:75">
      <c r="A44" s="100"/>
      <c r="B44" s="229" t="s">
        <v>364</v>
      </c>
      <c r="C44"/>
      <c r="D44"/>
      <c r="E44"/>
      <c r="F44"/>
      <c r="G44"/>
      <c r="H44"/>
      <c r="I44"/>
      <c r="J44" s="49" t="s">
        <v>229</v>
      </c>
      <c r="K44"/>
      <c r="L44" s="132" t="s">
        <v>202</v>
      </c>
      <c r="M44" s="6"/>
      <c r="N44" s="6">
        <v>0</v>
      </c>
      <c r="O44" s="6"/>
      <c r="P44" s="6">
        <v>0</v>
      </c>
      <c r="Q44" s="6"/>
      <c r="R44" s="231">
        <v>150000</v>
      </c>
      <c r="S44" s="6"/>
      <c r="T44" s="6">
        <v>0</v>
      </c>
      <c r="U44" s="6"/>
      <c r="V44" s="6">
        <v>0</v>
      </c>
      <c r="X44" s="6">
        <v>0</v>
      </c>
      <c r="Z44" s="6">
        <v>0</v>
      </c>
      <c r="AB44" s="6">
        <v>0</v>
      </c>
      <c r="AD44" s="6">
        <v>0</v>
      </c>
      <c r="AF44" s="6">
        <v>0</v>
      </c>
      <c r="AH44" s="6">
        <v>0</v>
      </c>
      <c r="AI44"/>
      <c r="AJ44" s="6">
        <v>0</v>
      </c>
      <c r="AK44"/>
      <c r="AL44" s="6">
        <v>0</v>
      </c>
      <c r="AM44"/>
      <c r="AN44" s="6">
        <v>0</v>
      </c>
      <c r="AP44" s="6">
        <v>14301</v>
      </c>
      <c r="AR44" s="6">
        <v>0</v>
      </c>
      <c r="AT44" s="6">
        <f>70124-14301</f>
        <v>55823</v>
      </c>
      <c r="AV44" s="6">
        <v>0</v>
      </c>
      <c r="AX44" s="6">
        <f>33294-70124</f>
        <v>-36830</v>
      </c>
      <c r="AZ44" s="6">
        <v>0</v>
      </c>
      <c r="BB44" s="6">
        <v>0</v>
      </c>
      <c r="BD44" s="6">
        <v>0</v>
      </c>
      <c r="BF44" s="6">
        <v>0</v>
      </c>
      <c r="BH44" s="6">
        <v>0</v>
      </c>
      <c r="BJ44" s="6">
        <v>0</v>
      </c>
      <c r="BL44" s="6">
        <v>0</v>
      </c>
      <c r="BM44" s="6"/>
      <c r="BN44" s="6">
        <f t="shared" si="5"/>
        <v>33294</v>
      </c>
      <c r="BO44" s="6"/>
      <c r="BP44" s="6">
        <v>0</v>
      </c>
      <c r="BQ44" s="6"/>
      <c r="BR44" s="6">
        <f t="shared" si="6"/>
        <v>116706</v>
      </c>
      <c r="BT44" s="6">
        <f t="shared" si="7"/>
        <v>150000</v>
      </c>
      <c r="BV44" s="6">
        <f t="shared" si="8"/>
        <v>0</v>
      </c>
      <c r="BW44" s="6"/>
    </row>
    <row r="45" spans="1:75">
      <c r="A45" s="100"/>
      <c r="B45" s="229" t="s">
        <v>190</v>
      </c>
      <c r="C45"/>
      <c r="D45"/>
      <c r="E45"/>
      <c r="F45"/>
      <c r="G45"/>
      <c r="H45"/>
      <c r="I45"/>
      <c r="J45" s="49" t="s">
        <v>229</v>
      </c>
      <c r="K45"/>
      <c r="L45" s="132" t="s">
        <v>202</v>
      </c>
      <c r="M45" s="6"/>
      <c r="N45" s="6">
        <v>0</v>
      </c>
      <c r="O45" s="6"/>
      <c r="P45" s="6">
        <v>0</v>
      </c>
      <c r="Q45" s="6"/>
      <c r="R45" s="231">
        <v>547484</v>
      </c>
      <c r="S45" s="6"/>
      <c r="T45" s="6">
        <v>0</v>
      </c>
      <c r="U45" s="6"/>
      <c r="V45" s="6">
        <v>0</v>
      </c>
      <c r="X45" s="6">
        <v>0</v>
      </c>
      <c r="Z45" s="6">
        <v>0</v>
      </c>
      <c r="AB45" s="6">
        <v>0</v>
      </c>
      <c r="AD45" s="6">
        <v>0</v>
      </c>
      <c r="AF45" s="6">
        <v>0</v>
      </c>
      <c r="AH45" s="6">
        <v>0</v>
      </c>
      <c r="AI45"/>
      <c r="AJ45" s="6">
        <v>0</v>
      </c>
      <c r="AK45"/>
      <c r="AL45" s="6">
        <v>0</v>
      </c>
      <c r="AM45"/>
      <c r="AN45" s="6">
        <v>0</v>
      </c>
      <c r="AP45" s="6">
        <v>0</v>
      </c>
      <c r="AR45" s="6">
        <v>0</v>
      </c>
      <c r="AT45" s="6">
        <v>0</v>
      </c>
      <c r="AV45" s="6">
        <v>0</v>
      </c>
      <c r="AX45" s="6">
        <v>0</v>
      </c>
      <c r="AZ45" s="6">
        <v>0</v>
      </c>
      <c r="BB45" s="6">
        <v>0</v>
      </c>
      <c r="BD45" s="6">
        <v>0</v>
      </c>
      <c r="BF45" s="6">
        <v>0</v>
      </c>
      <c r="BH45" s="6">
        <v>0</v>
      </c>
      <c r="BJ45" s="6">
        <v>0</v>
      </c>
      <c r="BL45" s="6">
        <v>0</v>
      </c>
      <c r="BM45" s="6"/>
      <c r="BN45" s="6">
        <f t="shared" si="5"/>
        <v>0</v>
      </c>
      <c r="BO45" s="6"/>
      <c r="BP45" s="6">
        <v>-547484</v>
      </c>
      <c r="BQ45" s="6"/>
      <c r="BR45" s="6">
        <f t="shared" si="6"/>
        <v>0</v>
      </c>
      <c r="BT45" s="6">
        <f t="shared" si="7"/>
        <v>0</v>
      </c>
      <c r="BV45" s="6">
        <f t="shared" si="8"/>
        <v>547484</v>
      </c>
      <c r="BW45" s="6"/>
    </row>
    <row r="46" spans="1:75">
      <c r="A46" s="100"/>
      <c r="B46" s="229" t="s">
        <v>294</v>
      </c>
      <c r="C46"/>
      <c r="D46"/>
      <c r="E46"/>
      <c r="F46"/>
      <c r="G46"/>
      <c r="H46"/>
      <c r="I46"/>
      <c r="J46" s="49"/>
      <c r="K46"/>
      <c r="L46" s="132" t="s">
        <v>202</v>
      </c>
      <c r="M46" s="6"/>
      <c r="N46" s="6">
        <v>0</v>
      </c>
      <c r="O46" s="6"/>
      <c r="P46" s="6">
        <v>0</v>
      </c>
      <c r="Q46" s="6"/>
      <c r="R46" s="231">
        <v>-231</v>
      </c>
      <c r="S46" s="6"/>
      <c r="T46" s="6">
        <v>0</v>
      </c>
      <c r="U46" s="6"/>
      <c r="V46" s="6">
        <v>0</v>
      </c>
      <c r="X46" s="6">
        <v>0</v>
      </c>
      <c r="Z46" s="6">
        <v>0</v>
      </c>
      <c r="AB46" s="6">
        <v>0</v>
      </c>
      <c r="AD46" s="6">
        <v>0</v>
      </c>
      <c r="AF46" s="6">
        <v>0</v>
      </c>
      <c r="AH46" s="6">
        <v>0</v>
      </c>
      <c r="AI46"/>
      <c r="AJ46" s="6">
        <v>0</v>
      </c>
      <c r="AK46"/>
      <c r="AL46" s="6">
        <v>0</v>
      </c>
      <c r="AM46"/>
      <c r="AN46" s="6">
        <v>0</v>
      </c>
      <c r="AP46" s="6">
        <v>0</v>
      </c>
      <c r="AR46" s="6">
        <v>0</v>
      </c>
      <c r="AT46" s="6">
        <v>0</v>
      </c>
      <c r="AV46" s="6">
        <v>0</v>
      </c>
      <c r="AX46" s="6">
        <v>0</v>
      </c>
      <c r="AZ46" s="6">
        <v>0</v>
      </c>
      <c r="BB46" s="6">
        <v>0</v>
      </c>
      <c r="BD46" s="6">
        <v>0</v>
      </c>
      <c r="BF46" s="6">
        <v>0</v>
      </c>
      <c r="BH46" s="6">
        <v>0</v>
      </c>
      <c r="BJ46" s="6">
        <v>0</v>
      </c>
      <c r="BL46" s="6">
        <v>0</v>
      </c>
      <c r="BM46" s="6"/>
      <c r="BN46" s="6">
        <f t="shared" si="5"/>
        <v>0</v>
      </c>
      <c r="BO46" s="6"/>
      <c r="BP46" s="6">
        <v>-485</v>
      </c>
      <c r="BQ46" s="6"/>
      <c r="BR46" s="6">
        <f t="shared" si="6"/>
        <v>0</v>
      </c>
      <c r="BT46" s="6">
        <f t="shared" si="7"/>
        <v>0</v>
      </c>
      <c r="BV46" s="6">
        <f t="shared" si="8"/>
        <v>-231</v>
      </c>
      <c r="BW46" s="6"/>
    </row>
    <row r="47" spans="1:75">
      <c r="A47" s="100"/>
      <c r="B47" s="229"/>
      <c r="C47"/>
      <c r="D47"/>
      <c r="E47"/>
      <c r="F47"/>
      <c r="G47"/>
      <c r="H47"/>
      <c r="I47"/>
      <c r="J47" s="49"/>
      <c r="K47"/>
      <c r="L47" s="132" t="s">
        <v>202</v>
      </c>
      <c r="M47" s="6"/>
      <c r="N47" s="6">
        <v>0</v>
      </c>
      <c r="O47" s="6"/>
      <c r="P47" s="6">
        <v>0</v>
      </c>
      <c r="Q47" s="6"/>
      <c r="S47" s="6"/>
      <c r="T47" s="6">
        <v>0</v>
      </c>
      <c r="U47" s="6"/>
      <c r="V47" s="6">
        <v>0</v>
      </c>
      <c r="X47" s="6">
        <v>0</v>
      </c>
      <c r="Z47" s="6">
        <v>0</v>
      </c>
      <c r="AB47" s="6">
        <v>0</v>
      </c>
      <c r="AD47" s="6">
        <v>0</v>
      </c>
      <c r="AF47" s="6">
        <v>0</v>
      </c>
      <c r="AH47" s="6">
        <v>0</v>
      </c>
      <c r="AI47"/>
      <c r="AJ47" s="6">
        <v>0</v>
      </c>
      <c r="AK47"/>
      <c r="AL47" s="6">
        <v>0</v>
      </c>
      <c r="AM47"/>
      <c r="AN47" s="6">
        <v>0</v>
      </c>
      <c r="AP47" s="6">
        <v>0</v>
      </c>
      <c r="AR47" s="6">
        <v>0</v>
      </c>
      <c r="AT47" s="6">
        <v>0</v>
      </c>
      <c r="AV47" s="6">
        <v>0</v>
      </c>
      <c r="AX47" s="6">
        <v>0</v>
      </c>
      <c r="AZ47" s="6">
        <v>0</v>
      </c>
      <c r="BB47" s="6">
        <v>0</v>
      </c>
      <c r="BD47" s="6">
        <v>0</v>
      </c>
      <c r="BF47" s="6">
        <v>0</v>
      </c>
      <c r="BH47" s="6">
        <v>0</v>
      </c>
      <c r="BJ47" s="6">
        <v>0</v>
      </c>
      <c r="BL47" s="6">
        <v>0</v>
      </c>
      <c r="BM47" s="6"/>
      <c r="BN47" s="6">
        <f t="shared" si="5"/>
        <v>0</v>
      </c>
      <c r="BO47" s="6"/>
      <c r="BP47" s="6">
        <v>0</v>
      </c>
      <c r="BQ47" s="6"/>
      <c r="BR47" s="6">
        <f t="shared" si="6"/>
        <v>0</v>
      </c>
      <c r="BT47" s="6">
        <f t="shared" si="7"/>
        <v>0</v>
      </c>
      <c r="BW47" s="6"/>
    </row>
    <row r="48" spans="1:75" s="21" customFormat="1">
      <c r="A48" s="283"/>
      <c r="B48" s="232" t="s">
        <v>296</v>
      </c>
      <c r="J48" s="8"/>
      <c r="L48" s="141" t="s">
        <v>202</v>
      </c>
      <c r="M48" s="9"/>
      <c r="N48" s="9">
        <v>0</v>
      </c>
      <c r="O48" s="9"/>
      <c r="P48" s="9">
        <v>0</v>
      </c>
      <c r="Q48" s="9"/>
      <c r="R48" s="9">
        <f t="shared" ref="R48:AW48" si="9">SUM(R40:R47)</f>
        <v>12432748</v>
      </c>
      <c r="S48" s="9">
        <f t="shared" si="9"/>
        <v>0</v>
      </c>
      <c r="T48" s="9">
        <f t="shared" si="9"/>
        <v>0</v>
      </c>
      <c r="U48" s="9">
        <f t="shared" si="9"/>
        <v>0</v>
      </c>
      <c r="V48" s="9">
        <f t="shared" si="9"/>
        <v>0</v>
      </c>
      <c r="W48" s="9">
        <f t="shared" si="9"/>
        <v>0</v>
      </c>
      <c r="X48" s="9">
        <f t="shared" si="9"/>
        <v>0</v>
      </c>
      <c r="Y48" s="9">
        <f t="shared" si="9"/>
        <v>0</v>
      </c>
      <c r="Z48" s="9">
        <f t="shared" si="9"/>
        <v>0</v>
      </c>
      <c r="AA48" s="9">
        <f t="shared" si="9"/>
        <v>0</v>
      </c>
      <c r="AB48" s="9">
        <f t="shared" si="9"/>
        <v>0</v>
      </c>
      <c r="AC48" s="9">
        <f t="shared" si="9"/>
        <v>0</v>
      </c>
      <c r="AD48" s="9">
        <f t="shared" si="9"/>
        <v>0</v>
      </c>
      <c r="AE48" s="9">
        <f t="shared" si="9"/>
        <v>0</v>
      </c>
      <c r="AF48" s="9">
        <f t="shared" si="9"/>
        <v>0</v>
      </c>
      <c r="AG48" s="9">
        <f t="shared" si="9"/>
        <v>0</v>
      </c>
      <c r="AH48" s="9">
        <f t="shared" si="9"/>
        <v>0</v>
      </c>
      <c r="AI48" s="9">
        <f t="shared" si="9"/>
        <v>0</v>
      </c>
      <c r="AJ48" s="9">
        <f t="shared" si="9"/>
        <v>0</v>
      </c>
      <c r="AK48" s="9">
        <f t="shared" si="9"/>
        <v>0</v>
      </c>
      <c r="AL48" s="9">
        <f t="shared" si="9"/>
        <v>0</v>
      </c>
      <c r="AM48" s="9">
        <f t="shared" si="9"/>
        <v>0</v>
      </c>
      <c r="AN48" s="9">
        <f t="shared" si="9"/>
        <v>0</v>
      </c>
      <c r="AO48" s="9">
        <f t="shared" si="9"/>
        <v>0</v>
      </c>
      <c r="AP48" s="9">
        <f t="shared" si="9"/>
        <v>626946</v>
      </c>
      <c r="AQ48" s="9"/>
      <c r="AR48" s="9">
        <f t="shared" si="9"/>
        <v>0</v>
      </c>
      <c r="AS48" s="9">
        <f t="shared" si="9"/>
        <v>0</v>
      </c>
      <c r="AT48" s="9">
        <f t="shared" si="9"/>
        <v>2169322</v>
      </c>
      <c r="AU48" s="9">
        <f t="shared" si="9"/>
        <v>0</v>
      </c>
      <c r="AV48" s="9">
        <f t="shared" si="9"/>
        <v>0</v>
      </c>
      <c r="AW48" s="9">
        <f t="shared" si="9"/>
        <v>0</v>
      </c>
      <c r="AX48" s="9">
        <f t="shared" ref="AX48:BV48" si="10">SUM(AX40:AX47)</f>
        <v>2799666</v>
      </c>
      <c r="AY48" s="9">
        <f t="shared" si="10"/>
        <v>0</v>
      </c>
      <c r="AZ48" s="9">
        <f t="shared" si="10"/>
        <v>0</v>
      </c>
      <c r="BA48" s="9">
        <f t="shared" si="10"/>
        <v>0</v>
      </c>
      <c r="BB48" s="9">
        <f t="shared" si="10"/>
        <v>0</v>
      </c>
      <c r="BC48" s="9">
        <f t="shared" si="10"/>
        <v>0</v>
      </c>
      <c r="BD48" s="9">
        <f t="shared" si="10"/>
        <v>0</v>
      </c>
      <c r="BE48" s="9">
        <f t="shared" si="10"/>
        <v>0</v>
      </c>
      <c r="BF48" s="9">
        <f t="shared" si="10"/>
        <v>0</v>
      </c>
      <c r="BG48" s="9">
        <f t="shared" si="10"/>
        <v>0</v>
      </c>
      <c r="BH48" s="9">
        <f t="shared" si="10"/>
        <v>0</v>
      </c>
      <c r="BI48" s="9">
        <f t="shared" si="10"/>
        <v>0</v>
      </c>
      <c r="BJ48" s="9">
        <f t="shared" si="10"/>
        <v>0</v>
      </c>
      <c r="BK48" s="9">
        <f>SUM(BK40:BK47)</f>
        <v>0</v>
      </c>
      <c r="BL48" s="9">
        <f>SUM(BL40:BL47)</f>
        <v>0</v>
      </c>
      <c r="BM48" s="9">
        <f t="shared" si="10"/>
        <v>0</v>
      </c>
      <c r="BN48" s="9">
        <f t="shared" si="10"/>
        <v>5595934</v>
      </c>
      <c r="BO48" s="9">
        <f t="shared" si="10"/>
        <v>0</v>
      </c>
      <c r="BP48" s="9">
        <f t="shared" si="10"/>
        <v>977487</v>
      </c>
      <c r="BQ48" s="9">
        <f t="shared" si="10"/>
        <v>0</v>
      </c>
      <c r="BR48" s="9">
        <f t="shared" si="10"/>
        <v>7815017</v>
      </c>
      <c r="BS48" s="9">
        <f t="shared" si="10"/>
        <v>0</v>
      </c>
      <c r="BT48" s="9">
        <f t="shared" si="10"/>
        <v>13410951</v>
      </c>
      <c r="BU48" s="9">
        <f t="shared" si="10"/>
        <v>0</v>
      </c>
      <c r="BV48" s="9">
        <f t="shared" si="10"/>
        <v>-978203</v>
      </c>
      <c r="BW48" s="9"/>
    </row>
    <row r="49" spans="1:75">
      <c r="A49" s="100"/>
      <c r="B49" s="230"/>
      <c r="C49"/>
      <c r="D49"/>
      <c r="E49"/>
      <c r="F49"/>
      <c r="G49"/>
      <c r="H49"/>
      <c r="I49"/>
      <c r="J49" s="49"/>
      <c r="K49"/>
      <c r="L49" s="132"/>
      <c r="M49" s="6"/>
      <c r="O49" s="6"/>
      <c r="Q49" s="6"/>
      <c r="S49" s="6"/>
      <c r="T49" s="6"/>
      <c r="U49" s="6"/>
      <c r="V49" s="6"/>
      <c r="X49" s="6"/>
      <c r="Z49" s="6"/>
      <c r="AB49" s="6"/>
      <c r="AD49" s="6"/>
      <c r="AI49"/>
      <c r="AK49"/>
      <c r="AM49"/>
      <c r="BJ49" s="6"/>
      <c r="BL49" s="6"/>
      <c r="BM49" s="6"/>
      <c r="BO49" s="6"/>
      <c r="BP49" s="6"/>
      <c r="BQ49" s="6"/>
      <c r="BW49" s="6"/>
    </row>
    <row r="50" spans="1:75">
      <c r="B50" s="21" t="s">
        <v>297</v>
      </c>
      <c r="C50"/>
      <c r="D50"/>
      <c r="E50"/>
      <c r="F50"/>
      <c r="G50"/>
      <c r="H50"/>
      <c r="I50"/>
      <c r="J50" s="49"/>
      <c r="K50"/>
      <c r="L50" s="132"/>
      <c r="M50" s="6"/>
      <c r="O50" s="6"/>
      <c r="Q50" s="6"/>
      <c r="S50" s="6"/>
      <c r="T50" s="6"/>
      <c r="U50" s="6"/>
      <c r="V50" s="6"/>
      <c r="X50" s="6"/>
      <c r="Z50" s="6"/>
      <c r="AB50" s="6"/>
      <c r="AD50" s="6"/>
      <c r="AI50"/>
      <c r="AK50"/>
      <c r="AM50"/>
      <c r="BJ50" s="6"/>
      <c r="BL50" s="6"/>
      <c r="BM50" s="6"/>
      <c r="BN50" s="6">
        <f>SUM(T50:BM50)</f>
        <v>0</v>
      </c>
      <c r="BO50" s="6"/>
      <c r="BP50" s="6"/>
      <c r="BQ50" s="6"/>
      <c r="BW50" s="6"/>
    </row>
    <row r="51" spans="1:75">
      <c r="A51" s="30"/>
      <c r="B51" s="229" t="s">
        <v>384</v>
      </c>
      <c r="C51"/>
      <c r="D51"/>
      <c r="E51"/>
      <c r="F51"/>
      <c r="G51"/>
      <c r="H51"/>
      <c r="I51"/>
      <c r="J51" s="49" t="s">
        <v>229</v>
      </c>
      <c r="K51"/>
      <c r="L51" s="132"/>
      <c r="M51" s="6"/>
      <c r="O51" s="6"/>
      <c r="Q51" s="6"/>
      <c r="R51" s="231">
        <v>337160</v>
      </c>
      <c r="S51" s="6"/>
      <c r="T51" s="6"/>
      <c r="U51" s="6"/>
      <c r="V51" s="6"/>
      <c r="X51" s="6"/>
      <c r="Z51" s="6"/>
      <c r="AB51" s="6"/>
      <c r="AD51" s="6"/>
      <c r="AI51"/>
      <c r="AK51"/>
      <c r="AM51"/>
      <c r="AX51" s="6">
        <v>124742</v>
      </c>
      <c r="BJ51" s="6"/>
      <c r="BL51" s="6"/>
      <c r="BM51" s="6"/>
      <c r="BN51" s="6">
        <f>SUM(T51:BM51)</f>
        <v>124742</v>
      </c>
      <c r="BO51" s="6"/>
      <c r="BP51" s="6"/>
      <c r="BQ51" s="6"/>
      <c r="BR51" s="6">
        <f>IF(+R51-BN51+BP51&gt;0,R51-BN51+BP51,0)</f>
        <v>212418</v>
      </c>
      <c r="BT51" s="6">
        <f>+BN51+BR51</f>
        <v>337160</v>
      </c>
      <c r="BV51" s="6">
        <f>+R51-BT51</f>
        <v>0</v>
      </c>
      <c r="BW51" s="6"/>
    </row>
    <row r="52" spans="1:75">
      <c r="A52" s="30"/>
      <c r="B52" s="229" t="s">
        <v>385</v>
      </c>
      <c r="C52"/>
      <c r="D52"/>
      <c r="E52"/>
      <c r="F52"/>
      <c r="G52"/>
      <c r="H52"/>
      <c r="I52"/>
      <c r="J52" s="49" t="s">
        <v>229</v>
      </c>
      <c r="K52"/>
      <c r="L52" s="132"/>
      <c r="M52" s="6"/>
      <c r="O52" s="6"/>
      <c r="Q52" s="6"/>
      <c r="R52" s="231">
        <v>3526570</v>
      </c>
      <c r="S52" s="6"/>
      <c r="T52" s="6"/>
      <c r="U52" s="6"/>
      <c r="V52" s="6"/>
      <c r="X52" s="6"/>
      <c r="Z52" s="6"/>
      <c r="AB52" s="6"/>
      <c r="AD52" s="6"/>
      <c r="AI52"/>
      <c r="AK52"/>
      <c r="AM52"/>
      <c r="AP52" s="6">
        <v>115533</v>
      </c>
      <c r="AT52" s="6">
        <f>9367+346600</f>
        <v>355967</v>
      </c>
      <c r="AX52" s="6">
        <f>1125407-471500</f>
        <v>653907</v>
      </c>
      <c r="BJ52" s="6"/>
      <c r="BL52" s="6"/>
      <c r="BM52" s="6"/>
      <c r="BN52" s="6">
        <f>SUM(T52:BM52)</f>
        <v>1125407</v>
      </c>
      <c r="BO52" s="6"/>
      <c r="BP52" s="6">
        <f>3268613-3526570</f>
        <v>-257957</v>
      </c>
      <c r="BQ52" s="6"/>
      <c r="BR52" s="6">
        <f>IF(+R52-BN52+BP52&gt;0,R52-BN52+BP52,0)</f>
        <v>2143206</v>
      </c>
      <c r="BT52" s="6">
        <f>+BN52+BR52</f>
        <v>3268613</v>
      </c>
      <c r="BV52" s="6">
        <f>+R52-BT52</f>
        <v>257957</v>
      </c>
      <c r="BW52" s="6"/>
    </row>
    <row r="53" spans="1:75">
      <c r="A53" s="30"/>
      <c r="B53" s="229" t="s">
        <v>19</v>
      </c>
      <c r="C53"/>
      <c r="D53"/>
      <c r="E53"/>
      <c r="F53"/>
      <c r="G53"/>
      <c r="H53"/>
      <c r="I53"/>
      <c r="J53" s="49" t="s">
        <v>229</v>
      </c>
      <c r="K53"/>
      <c r="L53" s="132"/>
      <c r="M53" s="6"/>
      <c r="O53" s="6"/>
      <c r="Q53" s="6"/>
      <c r="R53" s="231">
        <v>967394</v>
      </c>
      <c r="S53" s="6"/>
      <c r="T53" s="6"/>
      <c r="U53" s="6"/>
      <c r="V53" s="6"/>
      <c r="X53" s="6"/>
      <c r="Z53" s="6"/>
      <c r="AB53" s="6"/>
      <c r="AD53" s="6"/>
      <c r="AI53"/>
      <c r="AK53"/>
      <c r="AM53"/>
      <c r="AX53" s="6">
        <v>7369</v>
      </c>
      <c r="BJ53" s="6"/>
      <c r="BL53" s="6"/>
      <c r="BM53" s="6"/>
      <c r="BN53" s="6">
        <f>SUM(T53:BM53)</f>
        <v>7369</v>
      </c>
      <c r="BO53" s="6"/>
      <c r="BP53" s="6">
        <f>877394-967394</f>
        <v>-90000</v>
      </c>
      <c r="BQ53" s="6"/>
      <c r="BR53" s="6">
        <f>IF(+R53-BN53+BP53&gt;0,R53-BN53+BP53,0)</f>
        <v>870025</v>
      </c>
      <c r="BT53" s="6">
        <f>+BN53+BR53</f>
        <v>877394</v>
      </c>
      <c r="BV53" s="6">
        <f>+R53-BT53</f>
        <v>90000</v>
      </c>
      <c r="BW53" s="6"/>
    </row>
    <row r="54" spans="1:75">
      <c r="A54" s="30"/>
      <c r="B54" s="229" t="s">
        <v>386</v>
      </c>
      <c r="C54"/>
      <c r="D54"/>
      <c r="E54"/>
      <c r="F54"/>
      <c r="G54"/>
      <c r="H54"/>
      <c r="I54"/>
      <c r="J54" s="49" t="s">
        <v>229</v>
      </c>
      <c r="K54"/>
      <c r="L54" s="132"/>
      <c r="M54" s="6"/>
      <c r="O54" s="6"/>
      <c r="Q54" s="6"/>
      <c r="R54" s="231">
        <v>577625</v>
      </c>
      <c r="S54" s="6"/>
      <c r="T54" s="6"/>
      <c r="U54" s="6"/>
      <c r="V54" s="6"/>
      <c r="X54" s="6"/>
      <c r="Z54" s="6"/>
      <c r="AB54" s="6"/>
      <c r="AD54" s="6"/>
      <c r="AI54"/>
      <c r="AK54"/>
      <c r="AM54"/>
      <c r="AT54" s="6">
        <v>3829</v>
      </c>
      <c r="AX54" s="6">
        <f>4953-3829</f>
        <v>1124</v>
      </c>
      <c r="BJ54" s="6"/>
      <c r="BL54" s="6"/>
      <c r="BM54" s="6"/>
      <c r="BN54" s="6">
        <f>SUM(T54:BM54)</f>
        <v>4953</v>
      </c>
      <c r="BO54" s="6"/>
      <c r="BP54" s="6">
        <f>466609-577625</f>
        <v>-111016</v>
      </c>
      <c r="BQ54" s="6"/>
      <c r="BR54" s="6">
        <f>IF(+R54-BN54+BP54&gt;0,R54-BN54+BP54,0)</f>
        <v>461656</v>
      </c>
      <c r="BT54" s="6">
        <f>+BN54+BR54</f>
        <v>466609</v>
      </c>
      <c r="BV54" s="6">
        <f>+R54-BT54</f>
        <v>111016</v>
      </c>
      <c r="BW54" s="6"/>
    </row>
    <row r="55" spans="1:75" s="21" customFormat="1">
      <c r="A55" s="31"/>
      <c r="B55" s="232" t="s">
        <v>298</v>
      </c>
      <c r="J55" s="8"/>
      <c r="L55" s="141" t="s">
        <v>202</v>
      </c>
      <c r="M55" s="9"/>
      <c r="N55" s="9">
        <v>0</v>
      </c>
      <c r="O55" s="9"/>
      <c r="P55" s="9">
        <v>0</v>
      </c>
      <c r="Q55" s="9"/>
      <c r="R55" s="9">
        <f t="shared" ref="R55:AW55" si="11">SUM(R51:R54)</f>
        <v>5408749</v>
      </c>
      <c r="S55" s="9">
        <f t="shared" si="11"/>
        <v>0</v>
      </c>
      <c r="T55" s="9">
        <f t="shared" si="11"/>
        <v>0</v>
      </c>
      <c r="U55" s="9">
        <f t="shared" si="11"/>
        <v>0</v>
      </c>
      <c r="V55" s="9">
        <f t="shared" si="11"/>
        <v>0</v>
      </c>
      <c r="W55" s="9">
        <f t="shared" si="11"/>
        <v>0</v>
      </c>
      <c r="X55" s="9">
        <f t="shared" si="11"/>
        <v>0</v>
      </c>
      <c r="Y55" s="9">
        <f t="shared" si="11"/>
        <v>0</v>
      </c>
      <c r="Z55" s="9">
        <f t="shared" si="11"/>
        <v>0</v>
      </c>
      <c r="AA55" s="9">
        <f t="shared" si="11"/>
        <v>0</v>
      </c>
      <c r="AB55" s="9">
        <f t="shared" si="11"/>
        <v>0</v>
      </c>
      <c r="AC55" s="9">
        <f t="shared" si="11"/>
        <v>0</v>
      </c>
      <c r="AD55" s="9">
        <f t="shared" si="11"/>
        <v>0</v>
      </c>
      <c r="AE55" s="9">
        <f t="shared" si="11"/>
        <v>0</v>
      </c>
      <c r="AF55" s="9">
        <f t="shared" si="11"/>
        <v>0</v>
      </c>
      <c r="AG55" s="9">
        <f t="shared" si="11"/>
        <v>0</v>
      </c>
      <c r="AH55" s="9">
        <f t="shared" si="11"/>
        <v>0</v>
      </c>
      <c r="AI55" s="9">
        <f t="shared" si="11"/>
        <v>0</v>
      </c>
      <c r="AJ55" s="9">
        <f t="shared" si="11"/>
        <v>0</v>
      </c>
      <c r="AK55" s="9">
        <f t="shared" si="11"/>
        <v>0</v>
      </c>
      <c r="AL55" s="9">
        <f t="shared" si="11"/>
        <v>0</v>
      </c>
      <c r="AM55" s="9">
        <f t="shared" si="11"/>
        <v>0</v>
      </c>
      <c r="AN55" s="9">
        <f t="shared" si="11"/>
        <v>0</v>
      </c>
      <c r="AO55" s="9">
        <f t="shared" si="11"/>
        <v>0</v>
      </c>
      <c r="AP55" s="9">
        <f t="shared" si="11"/>
        <v>115533</v>
      </c>
      <c r="AQ55" s="9"/>
      <c r="AR55" s="9">
        <f t="shared" si="11"/>
        <v>0</v>
      </c>
      <c r="AS55" s="9">
        <f t="shared" si="11"/>
        <v>0</v>
      </c>
      <c r="AT55" s="9">
        <f t="shared" si="11"/>
        <v>359796</v>
      </c>
      <c r="AU55" s="9">
        <f t="shared" si="11"/>
        <v>0</v>
      </c>
      <c r="AV55" s="9">
        <f t="shared" si="11"/>
        <v>0</v>
      </c>
      <c r="AW55" s="9">
        <f t="shared" si="11"/>
        <v>0</v>
      </c>
      <c r="AX55" s="9">
        <f t="shared" ref="AX55:BV55" si="12">SUM(AX51:AX54)</f>
        <v>787142</v>
      </c>
      <c r="AY55" s="9">
        <f t="shared" si="12"/>
        <v>0</v>
      </c>
      <c r="AZ55" s="9">
        <f t="shared" si="12"/>
        <v>0</v>
      </c>
      <c r="BA55" s="9">
        <f t="shared" si="12"/>
        <v>0</v>
      </c>
      <c r="BB55" s="9">
        <f t="shared" si="12"/>
        <v>0</v>
      </c>
      <c r="BC55" s="9">
        <f t="shared" si="12"/>
        <v>0</v>
      </c>
      <c r="BD55" s="9">
        <f t="shared" si="12"/>
        <v>0</v>
      </c>
      <c r="BE55" s="9">
        <f t="shared" si="12"/>
        <v>0</v>
      </c>
      <c r="BF55" s="9">
        <f t="shared" si="12"/>
        <v>0</v>
      </c>
      <c r="BG55" s="9">
        <f t="shared" si="12"/>
        <v>0</v>
      </c>
      <c r="BH55" s="9">
        <f t="shared" si="12"/>
        <v>0</v>
      </c>
      <c r="BI55" s="9">
        <f t="shared" si="12"/>
        <v>0</v>
      </c>
      <c r="BJ55" s="9">
        <f t="shared" si="12"/>
        <v>0</v>
      </c>
      <c r="BK55" s="9">
        <f>SUM(BK51:BK54)</f>
        <v>0</v>
      </c>
      <c r="BL55" s="9">
        <f>SUM(BL51:BL54)</f>
        <v>0</v>
      </c>
      <c r="BM55" s="9">
        <f t="shared" si="12"/>
        <v>0</v>
      </c>
      <c r="BN55" s="9">
        <f t="shared" si="12"/>
        <v>1262471</v>
      </c>
      <c r="BO55" s="9">
        <f t="shared" si="12"/>
        <v>0</v>
      </c>
      <c r="BP55" s="9">
        <f t="shared" si="12"/>
        <v>-458973</v>
      </c>
      <c r="BQ55" s="9">
        <f t="shared" si="12"/>
        <v>0</v>
      </c>
      <c r="BR55" s="9">
        <f t="shared" si="12"/>
        <v>3687305</v>
      </c>
      <c r="BS55" s="9">
        <f t="shared" si="12"/>
        <v>0</v>
      </c>
      <c r="BT55" s="9">
        <f t="shared" si="12"/>
        <v>4949776</v>
      </c>
      <c r="BU55" s="9">
        <f t="shared" si="12"/>
        <v>0</v>
      </c>
      <c r="BV55" s="9">
        <f t="shared" si="12"/>
        <v>458973</v>
      </c>
      <c r="BW55" s="9"/>
    </row>
    <row r="56" spans="1:75" s="21" customFormat="1">
      <c r="A56" s="31"/>
      <c r="B56" s="232"/>
      <c r="J56" s="8"/>
      <c r="L56" s="141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J56" s="9"/>
      <c r="AL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/>
      <c r="AZ56" s="9"/>
      <c r="BA56" s="9"/>
      <c r="BB56" s="9"/>
      <c r="BC56" s="9"/>
      <c r="BD56" s="9"/>
      <c r="BE56" s="9"/>
      <c r="BF56" s="9"/>
      <c r="BG56" s="9"/>
      <c r="BH56" s="9"/>
      <c r="BI56" s="9"/>
      <c r="BJ56" s="9"/>
      <c r="BK56" s="9"/>
      <c r="BL56" s="9"/>
      <c r="BM56" s="9"/>
      <c r="BN56" s="9"/>
      <c r="BO56" s="9"/>
      <c r="BP56" s="9"/>
      <c r="BQ56" s="9"/>
      <c r="BR56" s="9"/>
      <c r="BS56" s="9"/>
      <c r="BT56" s="9"/>
      <c r="BU56" s="9"/>
      <c r="BV56" s="9"/>
      <c r="BW56" s="9"/>
    </row>
    <row r="57" spans="1:75" s="21" customFormat="1">
      <c r="A57" s="31"/>
      <c r="B57" s="233" t="s">
        <v>310</v>
      </c>
      <c r="J57" s="8"/>
      <c r="L57" s="141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J57" s="9"/>
      <c r="AL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"/>
      <c r="AZ57" s="9"/>
      <c r="BA57" s="9"/>
      <c r="BB57" s="9"/>
      <c r="BC57" s="9"/>
      <c r="BD57" s="9"/>
      <c r="BE57" s="9"/>
      <c r="BF57" s="9"/>
      <c r="BG57" s="9"/>
      <c r="BH57" s="9"/>
      <c r="BI57" s="9"/>
      <c r="BJ57" s="9"/>
      <c r="BK57" s="9"/>
      <c r="BL57" s="9"/>
      <c r="BM57" s="9"/>
      <c r="BN57" s="9"/>
      <c r="BO57" s="9"/>
      <c r="BP57" s="9"/>
      <c r="BQ57" s="9"/>
      <c r="BR57" s="9"/>
      <c r="BS57" s="9"/>
      <c r="BT57" s="9"/>
      <c r="BU57" s="9"/>
      <c r="BV57" s="9"/>
      <c r="BW57" s="9"/>
    </row>
    <row r="58" spans="1:75" s="21" customFormat="1">
      <c r="A58" s="31"/>
      <c r="B58" s="234" t="s">
        <v>299</v>
      </c>
      <c r="J58" s="8"/>
      <c r="L58" s="141"/>
      <c r="M58" s="9"/>
      <c r="N58" s="9"/>
      <c r="O58" s="9"/>
      <c r="P58" s="9"/>
      <c r="Q58" s="9"/>
      <c r="R58" s="231">
        <f>93420+927905</f>
        <v>1021325</v>
      </c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J58" s="9"/>
      <c r="AL58" s="9"/>
      <c r="AN58" s="9"/>
      <c r="AO58" s="9"/>
      <c r="AP58" s="9"/>
      <c r="AQ58" s="9"/>
      <c r="AR58" s="9"/>
      <c r="AS58" s="9"/>
      <c r="AT58" s="6">
        <v>673702</v>
      </c>
      <c r="AU58" s="9"/>
      <c r="AV58" s="9"/>
      <c r="AW58" s="9"/>
      <c r="AX58" s="6">
        <f>335475+372897-673702</f>
        <v>34670</v>
      </c>
      <c r="AY58" s="9"/>
      <c r="AZ58" s="9"/>
      <c r="BA58" s="9"/>
      <c r="BB58" s="9"/>
      <c r="BC58" s="9"/>
      <c r="BD58" s="9"/>
      <c r="BE58" s="9"/>
      <c r="BF58" s="9"/>
      <c r="BG58" s="9"/>
      <c r="BH58" s="9"/>
      <c r="BI58" s="9"/>
      <c r="BJ58" s="9"/>
      <c r="BK58" s="9"/>
      <c r="BL58" s="9"/>
      <c r="BM58" s="9"/>
      <c r="BN58" s="6">
        <f t="shared" ref="BN58:BN78" si="13">SUM(T58:BM58)</f>
        <v>708372</v>
      </c>
      <c r="BO58" s="9"/>
      <c r="BP58" s="6">
        <f>431043+930942-1021325</f>
        <v>340660</v>
      </c>
      <c r="BQ58" s="9"/>
      <c r="BR58" s="6">
        <f>IF(+R58-BN58+BP58&gt;0,R58-BN58+BP58,0)</f>
        <v>653613</v>
      </c>
      <c r="BS58" s="6"/>
      <c r="BT58" s="6">
        <f>+BN58+BR58</f>
        <v>1361985</v>
      </c>
      <c r="BU58" s="6"/>
      <c r="BV58" s="6">
        <f>+R58-BT58</f>
        <v>-340660</v>
      </c>
      <c r="BW58" s="9"/>
    </row>
    <row r="59" spans="1:75" s="21" customFormat="1">
      <c r="A59" s="31"/>
      <c r="B59" s="234" t="s">
        <v>365</v>
      </c>
      <c r="J59" s="8"/>
      <c r="L59" s="141"/>
      <c r="M59" s="9"/>
      <c r="N59" s="9"/>
      <c r="O59" s="9"/>
      <c r="P59" s="9"/>
      <c r="Q59" s="9"/>
      <c r="R59" s="231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J59" s="9"/>
      <c r="AL59" s="9"/>
      <c r="AN59" s="9"/>
      <c r="AO59" s="9"/>
      <c r="AP59" s="9"/>
      <c r="AQ59" s="9"/>
      <c r="AR59" s="9"/>
      <c r="AS59" s="9"/>
      <c r="AT59" s="6">
        <v>3903</v>
      </c>
      <c r="AU59" s="9"/>
      <c r="AV59" s="9"/>
      <c r="AW59" s="9"/>
      <c r="AX59" s="6">
        <f>56319-3903</f>
        <v>52416</v>
      </c>
      <c r="AY59" s="9"/>
      <c r="AZ59" s="9"/>
      <c r="BA59" s="9"/>
      <c r="BB59" s="9"/>
      <c r="BC59" s="9"/>
      <c r="BD59" s="9"/>
      <c r="BE59" s="9"/>
      <c r="BF59" s="9"/>
      <c r="BG59" s="9"/>
      <c r="BH59" s="9"/>
      <c r="BI59" s="9"/>
      <c r="BJ59" s="9"/>
      <c r="BK59" s="9"/>
      <c r="BL59" s="9"/>
      <c r="BM59" s="9"/>
      <c r="BN59" s="6">
        <f>SUM(T59:BM59)</f>
        <v>56319</v>
      </c>
      <c r="BO59" s="6">
        <f>SUM(U59:BN59)</f>
        <v>112638</v>
      </c>
      <c r="BP59" s="6">
        <v>2535</v>
      </c>
      <c r="BQ59" s="6">
        <f>SUM(W59:BP59)</f>
        <v>227811</v>
      </c>
      <c r="BR59" s="6">
        <f>IF(+R59-BN59+BP59&gt;0,R59-BN59+BP59,0)</f>
        <v>0</v>
      </c>
      <c r="BS59" s="6">
        <f>SUM(Y59:BR59)</f>
        <v>455622</v>
      </c>
      <c r="BT59" s="6">
        <f>+BN59+BR59</f>
        <v>56319</v>
      </c>
      <c r="BU59" s="6">
        <f>SUM(AA59:BT59)</f>
        <v>967563</v>
      </c>
      <c r="BV59" s="6">
        <f>+R59-BT59</f>
        <v>-56319</v>
      </c>
      <c r="BW59" s="9"/>
    </row>
    <row r="60" spans="1:75" s="21" customFormat="1">
      <c r="A60" s="31"/>
      <c r="B60" s="234" t="s">
        <v>387</v>
      </c>
      <c r="J60" s="8"/>
      <c r="L60" s="141"/>
      <c r="M60" s="9"/>
      <c r="N60" s="9"/>
      <c r="O60" s="9"/>
      <c r="P60" s="9"/>
      <c r="Q60" s="9"/>
      <c r="R60" s="231">
        <v>520119</v>
      </c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J60" s="9"/>
      <c r="AL60" s="9"/>
      <c r="AN60" s="9"/>
      <c r="AO60" s="9"/>
      <c r="AP60" s="6">
        <v>3780</v>
      </c>
      <c r="AQ60" s="9"/>
      <c r="AR60" s="9"/>
      <c r="AS60" s="9"/>
      <c r="AT60" s="6">
        <f>271106-3780</f>
        <v>267326</v>
      </c>
      <c r="AU60" s="9"/>
      <c r="AV60" s="9"/>
      <c r="AW60" s="9"/>
      <c r="AX60" s="6">
        <f>518815-271106</f>
        <v>247709</v>
      </c>
      <c r="AY60" s="9"/>
      <c r="AZ60" s="9"/>
      <c r="BA60" s="9"/>
      <c r="BB60" s="9"/>
      <c r="BC60" s="9"/>
      <c r="BD60" s="9"/>
      <c r="BE60" s="9"/>
      <c r="BF60" s="9"/>
      <c r="BG60" s="9"/>
      <c r="BH60" s="9"/>
      <c r="BI60" s="9"/>
      <c r="BJ60" s="9"/>
      <c r="BK60" s="9"/>
      <c r="BL60" s="9"/>
      <c r="BM60" s="9"/>
      <c r="BN60" s="6">
        <f t="shared" si="13"/>
        <v>518815</v>
      </c>
      <c r="BO60" s="6">
        <f>SUM(U60:BN60)</f>
        <v>1037630</v>
      </c>
      <c r="BP60" s="6">
        <f>763505-520119</f>
        <v>243386</v>
      </c>
      <c r="BQ60" s="6">
        <f>SUM(W60:BP60)</f>
        <v>2318646</v>
      </c>
      <c r="BR60" s="6">
        <f>IF(+R60-BN60+BP60&gt;0,R60-BN60+BP60,0)</f>
        <v>244690</v>
      </c>
      <c r="BS60" s="6">
        <f>SUM(Y60:BR60)</f>
        <v>4881982</v>
      </c>
      <c r="BT60" s="6">
        <f>+BN60+BR60</f>
        <v>763505</v>
      </c>
      <c r="BU60" s="6">
        <f>SUM(AA60:BT60)</f>
        <v>10527469</v>
      </c>
      <c r="BV60" s="6">
        <f>+R60-BT60</f>
        <v>-243386</v>
      </c>
      <c r="BW60" s="9"/>
    </row>
    <row r="61" spans="1:75" s="21" customFormat="1">
      <c r="A61" s="31"/>
      <c r="B61" s="234" t="s">
        <v>300</v>
      </c>
      <c r="J61" s="8"/>
      <c r="L61" s="141"/>
      <c r="M61" s="9"/>
      <c r="N61" s="9"/>
      <c r="O61" s="9"/>
      <c r="P61" s="9"/>
      <c r="Q61" s="9"/>
      <c r="R61" s="231">
        <v>375128</v>
      </c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J61" s="9"/>
      <c r="AL61" s="9"/>
      <c r="AN61" s="9"/>
      <c r="AO61" s="9"/>
      <c r="AP61" s="6">
        <v>28611</v>
      </c>
      <c r="AQ61" s="9"/>
      <c r="AR61" s="9"/>
      <c r="AS61" s="9"/>
      <c r="AT61" s="6">
        <f>127939-28611</f>
        <v>99328</v>
      </c>
      <c r="AU61" s="9"/>
      <c r="AV61" s="9"/>
      <c r="AW61" s="9"/>
      <c r="AX61" s="6">
        <f>146856-127939</f>
        <v>18917</v>
      </c>
      <c r="AY61" s="9"/>
      <c r="AZ61" s="9"/>
      <c r="BA61" s="9"/>
      <c r="BB61" s="9"/>
      <c r="BC61" s="9"/>
      <c r="BD61" s="9"/>
      <c r="BE61" s="9"/>
      <c r="BF61" s="9"/>
      <c r="BG61" s="9"/>
      <c r="BH61" s="9"/>
      <c r="BI61" s="9"/>
      <c r="BJ61" s="9"/>
      <c r="BK61" s="9"/>
      <c r="BL61" s="9"/>
      <c r="BM61" s="9"/>
      <c r="BN61" s="6">
        <f t="shared" si="13"/>
        <v>146856</v>
      </c>
      <c r="BO61" s="9"/>
      <c r="BP61" s="9"/>
      <c r="BQ61" s="9"/>
      <c r="BR61" s="6">
        <f t="shared" ref="BR61:BR77" si="14">IF(+R61-BN61+BP61&gt;0,R61-BN61+BP61,0)</f>
        <v>228272</v>
      </c>
      <c r="BS61" s="6"/>
      <c r="BT61" s="6">
        <f t="shared" ref="BT61:BT78" si="15">+BN61+BR61</f>
        <v>375128</v>
      </c>
      <c r="BU61" s="6"/>
      <c r="BV61" s="6">
        <f t="shared" ref="BV61:BV78" si="16">+R61-BT61</f>
        <v>0</v>
      </c>
      <c r="BW61" s="9"/>
    </row>
    <row r="62" spans="1:75" s="21" customFormat="1">
      <c r="A62" s="31"/>
      <c r="B62" s="234" t="s">
        <v>388</v>
      </c>
      <c r="J62" s="8"/>
      <c r="L62" s="141"/>
      <c r="M62" s="9"/>
      <c r="N62" s="9"/>
      <c r="O62" s="9"/>
      <c r="P62" s="9"/>
      <c r="Q62" s="9"/>
      <c r="R62" s="231">
        <v>460629</v>
      </c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J62" s="9"/>
      <c r="AL62" s="9"/>
      <c r="AN62" s="9"/>
      <c r="AO62" s="9"/>
      <c r="AP62" s="6">
        <v>3169</v>
      </c>
      <c r="AQ62" s="9"/>
      <c r="AR62" s="9"/>
      <c r="AS62" s="9"/>
      <c r="AT62" s="6">
        <f>205467-3169</f>
        <v>202298</v>
      </c>
      <c r="AU62" s="9"/>
      <c r="AV62" s="9"/>
      <c r="AW62" s="9"/>
      <c r="AX62" s="6">
        <f>362820-205467</f>
        <v>157353</v>
      </c>
      <c r="AY62" s="9"/>
      <c r="AZ62" s="9"/>
      <c r="BA62" s="9"/>
      <c r="BB62" s="9"/>
      <c r="BC62" s="9"/>
      <c r="BD62" s="9"/>
      <c r="BE62" s="9"/>
      <c r="BF62" s="9"/>
      <c r="BG62" s="9"/>
      <c r="BH62" s="9"/>
      <c r="BI62" s="9"/>
      <c r="BJ62" s="9"/>
      <c r="BK62" s="9"/>
      <c r="BL62" s="9"/>
      <c r="BM62" s="9"/>
      <c r="BN62" s="6">
        <f t="shared" si="13"/>
        <v>362820</v>
      </c>
      <c r="BO62" s="9"/>
      <c r="BP62" s="6">
        <f>678416-460629</f>
        <v>217787</v>
      </c>
      <c r="BQ62" s="9"/>
      <c r="BR62" s="6">
        <f t="shared" si="14"/>
        <v>315596</v>
      </c>
      <c r="BS62" s="6"/>
      <c r="BT62" s="6">
        <f t="shared" si="15"/>
        <v>678416</v>
      </c>
      <c r="BU62" s="6"/>
      <c r="BV62" s="6">
        <f t="shared" si="16"/>
        <v>-217787</v>
      </c>
      <c r="BW62" s="9"/>
    </row>
    <row r="63" spans="1:75" s="21" customFormat="1">
      <c r="A63" s="31"/>
      <c r="B63" s="234" t="s">
        <v>301</v>
      </c>
      <c r="J63" s="8"/>
      <c r="L63" s="141"/>
      <c r="M63" s="9"/>
      <c r="N63" s="9"/>
      <c r="O63" s="9"/>
      <c r="P63" s="9"/>
      <c r="Q63" s="9"/>
      <c r="R63" s="231">
        <v>193150</v>
      </c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J63" s="9"/>
      <c r="AL63" s="9"/>
      <c r="AN63" s="9"/>
      <c r="AO63" s="9"/>
      <c r="AP63" s="6">
        <v>17185</v>
      </c>
      <c r="AQ63" s="9"/>
      <c r="AR63" s="9"/>
      <c r="AS63" s="9"/>
      <c r="AT63" s="6">
        <f>101228-17185</f>
        <v>84043</v>
      </c>
      <c r="AU63" s="9"/>
      <c r="AV63" s="9"/>
      <c r="AW63" s="9"/>
      <c r="AX63" s="6">
        <f>123436-101228</f>
        <v>22208</v>
      </c>
      <c r="AY63" s="9"/>
      <c r="AZ63" s="9"/>
      <c r="BA63" s="9"/>
      <c r="BB63" s="9"/>
      <c r="BC63" s="9"/>
      <c r="BD63" s="9"/>
      <c r="BE63" s="9"/>
      <c r="BF63" s="9"/>
      <c r="BG63" s="9"/>
      <c r="BH63" s="9"/>
      <c r="BI63" s="9"/>
      <c r="BJ63" s="9"/>
      <c r="BK63" s="9"/>
      <c r="BL63" s="9"/>
      <c r="BM63" s="9"/>
      <c r="BN63" s="6">
        <f t="shared" si="13"/>
        <v>123436</v>
      </c>
      <c r="BO63" s="9"/>
      <c r="BP63" s="9"/>
      <c r="BQ63" s="9"/>
      <c r="BR63" s="6">
        <f t="shared" si="14"/>
        <v>69714</v>
      </c>
      <c r="BS63" s="6"/>
      <c r="BT63" s="6">
        <f t="shared" si="15"/>
        <v>193150</v>
      </c>
      <c r="BU63" s="6"/>
      <c r="BV63" s="6">
        <f t="shared" si="16"/>
        <v>0</v>
      </c>
      <c r="BW63" s="9"/>
    </row>
    <row r="64" spans="1:75" s="21" customFormat="1">
      <c r="A64" s="31"/>
      <c r="B64" s="234" t="s">
        <v>394</v>
      </c>
      <c r="J64" s="8"/>
      <c r="L64" s="141"/>
      <c r="M64" s="9"/>
      <c r="N64" s="9"/>
      <c r="O64" s="9"/>
      <c r="P64" s="9"/>
      <c r="Q64" s="9"/>
      <c r="R64" s="231">
        <v>896017</v>
      </c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J64" s="9"/>
      <c r="AL64" s="9"/>
      <c r="AN64" s="9"/>
      <c r="AO64" s="9"/>
      <c r="AP64" s="6">
        <v>3445</v>
      </c>
      <c r="AQ64" s="9"/>
      <c r="AR64" s="9"/>
      <c r="AS64" s="9"/>
      <c r="AT64" s="6">
        <f>374616-3445+20800</f>
        <v>391971</v>
      </c>
      <c r="AU64" s="9"/>
      <c r="AV64" s="9"/>
      <c r="AW64" s="9"/>
      <c r="AX64" s="6">
        <f>796722-395416</f>
        <v>401306</v>
      </c>
      <c r="AY64" s="9"/>
      <c r="AZ64" s="9"/>
      <c r="BA64" s="9"/>
      <c r="BB64" s="9"/>
      <c r="BC64" s="9"/>
      <c r="BD64" s="9"/>
      <c r="BE64" s="9"/>
      <c r="BF64" s="9"/>
      <c r="BG64" s="9"/>
      <c r="BH64" s="9"/>
      <c r="BI64" s="9"/>
      <c r="BJ64" s="9"/>
      <c r="BK64" s="9"/>
      <c r="BL64" s="9"/>
      <c r="BM64" s="9"/>
      <c r="BN64" s="6">
        <f t="shared" si="13"/>
        <v>796722</v>
      </c>
      <c r="BO64" s="9"/>
      <c r="BP64" s="6">
        <f>1395362-896017</f>
        <v>499345</v>
      </c>
      <c r="BQ64" s="9"/>
      <c r="BR64" s="6">
        <f t="shared" si="14"/>
        <v>598640</v>
      </c>
      <c r="BS64" s="6"/>
      <c r="BT64" s="6">
        <f t="shared" si="15"/>
        <v>1395362</v>
      </c>
      <c r="BU64" s="6"/>
      <c r="BV64" s="6">
        <f t="shared" si="16"/>
        <v>-499345</v>
      </c>
      <c r="BW64" s="9"/>
    </row>
    <row r="65" spans="1:77" s="21" customFormat="1">
      <c r="A65" s="31"/>
      <c r="B65" s="234" t="s">
        <v>302</v>
      </c>
      <c r="J65" s="8"/>
      <c r="L65" s="141"/>
      <c r="M65" s="9"/>
      <c r="N65" s="9"/>
      <c r="O65" s="9"/>
      <c r="P65" s="9"/>
      <c r="Q65" s="9"/>
      <c r="R65" s="231">
        <v>664866</v>
      </c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J65" s="9"/>
      <c r="AL65" s="9"/>
      <c r="AN65" s="9"/>
      <c r="AO65" s="9"/>
      <c r="AP65" s="6">
        <v>0</v>
      </c>
      <c r="AQ65" s="9"/>
      <c r="AR65" s="9"/>
      <c r="AS65" s="9"/>
      <c r="AT65" s="6">
        <v>250012</v>
      </c>
      <c r="AU65" s="9"/>
      <c r="AV65" s="9"/>
      <c r="AW65" s="9"/>
      <c r="AX65" s="6">
        <f>520612-250012</f>
        <v>270600</v>
      </c>
      <c r="AY65" s="9"/>
      <c r="AZ65" s="9"/>
      <c r="BA65" s="9"/>
      <c r="BB65" s="9"/>
      <c r="BC65" s="9"/>
      <c r="BD65" s="9"/>
      <c r="BE65" s="9"/>
      <c r="BF65" s="9"/>
      <c r="BG65" s="9"/>
      <c r="BH65" s="9"/>
      <c r="BI65" s="9"/>
      <c r="BJ65" s="9"/>
      <c r="BK65" s="9"/>
      <c r="BL65" s="9"/>
      <c r="BM65" s="9"/>
      <c r="BN65" s="6">
        <f t="shared" si="13"/>
        <v>520612</v>
      </c>
      <c r="BO65" s="9"/>
      <c r="BP65" s="9"/>
      <c r="BQ65" s="9"/>
      <c r="BR65" s="6">
        <f t="shared" si="14"/>
        <v>144254</v>
      </c>
      <c r="BS65" s="6"/>
      <c r="BT65" s="6">
        <f t="shared" si="15"/>
        <v>664866</v>
      </c>
      <c r="BU65" s="6"/>
      <c r="BV65" s="6">
        <f t="shared" si="16"/>
        <v>0</v>
      </c>
      <c r="BW65" s="9"/>
    </row>
    <row r="66" spans="1:77" s="21" customFormat="1">
      <c r="A66" s="31"/>
      <c r="B66" s="234" t="s">
        <v>399</v>
      </c>
      <c r="J66" s="8"/>
      <c r="L66" s="141"/>
      <c r="M66" s="9"/>
      <c r="N66" s="9"/>
      <c r="O66" s="9"/>
      <c r="P66" s="9"/>
      <c r="Q66" s="9"/>
      <c r="R66" s="231">
        <v>94449</v>
      </c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J66" s="9"/>
      <c r="AL66" s="9"/>
      <c r="AN66" s="9"/>
      <c r="AO66" s="9"/>
      <c r="AP66" s="6">
        <v>0</v>
      </c>
      <c r="AQ66" s="9"/>
      <c r="AR66" s="9"/>
      <c r="AS66" s="9"/>
      <c r="AT66" s="6">
        <v>4537</v>
      </c>
      <c r="AU66" s="9"/>
      <c r="AV66" s="9"/>
      <c r="AW66" s="9"/>
      <c r="AX66" s="6">
        <f>10758-4537</f>
        <v>6221</v>
      </c>
      <c r="AY66" s="9"/>
      <c r="AZ66" s="9"/>
      <c r="BA66" s="9"/>
      <c r="BB66" s="9"/>
      <c r="BC66" s="9"/>
      <c r="BD66" s="9"/>
      <c r="BE66" s="9"/>
      <c r="BF66" s="9"/>
      <c r="BG66" s="9"/>
      <c r="BH66" s="9"/>
      <c r="BI66" s="9"/>
      <c r="BJ66" s="9"/>
      <c r="BK66" s="9"/>
      <c r="BL66" s="9"/>
      <c r="BM66" s="9"/>
      <c r="BN66" s="6">
        <f t="shared" si="13"/>
        <v>10758</v>
      </c>
      <c r="BO66" s="6">
        <f>SUM(U66:BN66)</f>
        <v>21516</v>
      </c>
      <c r="BP66" s="6">
        <f>148255-94449</f>
        <v>53806</v>
      </c>
      <c r="BQ66" s="6">
        <f>SUM(W66:BP66)</f>
        <v>96838</v>
      </c>
      <c r="BR66" s="6">
        <f t="shared" si="14"/>
        <v>137497</v>
      </c>
      <c r="BS66" s="6">
        <f>SUM(Y66:BR66)</f>
        <v>331173</v>
      </c>
      <c r="BT66" s="6">
        <f t="shared" si="15"/>
        <v>148255</v>
      </c>
      <c r="BU66" s="6">
        <f>SUM(AA66:BT66)</f>
        <v>810601</v>
      </c>
      <c r="BV66" s="6">
        <f t="shared" si="16"/>
        <v>-53806</v>
      </c>
      <c r="BW66" s="6">
        <f>SUM(AC66:BV66)</f>
        <v>1567396</v>
      </c>
      <c r="BX66" s="6">
        <f>SUM(AD66:BW66)</f>
        <v>3134792</v>
      </c>
      <c r="BY66" s="6">
        <f>SUM(AE66:BX66)</f>
        <v>6269584</v>
      </c>
    </row>
    <row r="67" spans="1:77" s="21" customFormat="1">
      <c r="A67" s="31"/>
      <c r="B67" s="234" t="s">
        <v>393</v>
      </c>
      <c r="J67" s="8"/>
      <c r="L67" s="141"/>
      <c r="M67" s="9"/>
      <c r="N67" s="9"/>
      <c r="O67" s="9"/>
      <c r="P67" s="9"/>
      <c r="Q67" s="9"/>
      <c r="R67" s="231">
        <v>46881</v>
      </c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J67" s="9"/>
      <c r="AL67" s="9"/>
      <c r="AN67" s="9"/>
      <c r="AO67" s="9"/>
      <c r="AP67" s="6">
        <v>0</v>
      </c>
      <c r="AQ67" s="9"/>
      <c r="AR67" s="9"/>
      <c r="AS67" s="9"/>
      <c r="AT67" s="6">
        <v>1645</v>
      </c>
      <c r="AU67" s="9"/>
      <c r="AV67" s="9"/>
      <c r="AW67" s="9"/>
      <c r="AX67" s="6">
        <f>7700-1645</f>
        <v>6055</v>
      </c>
      <c r="AY67" s="9"/>
      <c r="AZ67" s="9"/>
      <c r="BA67" s="9"/>
      <c r="BB67" s="9"/>
      <c r="BC67" s="9"/>
      <c r="BD67" s="9"/>
      <c r="BE67" s="9"/>
      <c r="BF67" s="9"/>
      <c r="BG67" s="9"/>
      <c r="BH67" s="9"/>
      <c r="BI67" s="9"/>
      <c r="BJ67" s="9"/>
      <c r="BK67" s="9"/>
      <c r="BL67" s="9"/>
      <c r="BM67" s="9"/>
      <c r="BN67" s="6">
        <f t="shared" si="13"/>
        <v>7700</v>
      </c>
      <c r="BO67" s="9"/>
      <c r="BP67" s="9"/>
      <c r="BQ67" s="9"/>
      <c r="BR67" s="6">
        <f t="shared" si="14"/>
        <v>39181</v>
      </c>
      <c r="BS67" s="6"/>
      <c r="BT67" s="6">
        <f t="shared" si="15"/>
        <v>46881</v>
      </c>
      <c r="BU67" s="6"/>
      <c r="BV67" s="6">
        <f t="shared" si="16"/>
        <v>0</v>
      </c>
      <c r="BW67" s="9"/>
    </row>
    <row r="68" spans="1:77" s="21" customFormat="1">
      <c r="A68" s="31"/>
      <c r="B68" s="234" t="s">
        <v>303</v>
      </c>
      <c r="J68" s="8"/>
      <c r="L68" s="141"/>
      <c r="M68" s="9"/>
      <c r="N68" s="9"/>
      <c r="O68" s="9"/>
      <c r="P68" s="9"/>
      <c r="Q68" s="9"/>
      <c r="R68" s="231">
        <v>26528</v>
      </c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J68" s="9"/>
      <c r="AL68" s="9"/>
      <c r="AN68" s="9"/>
      <c r="AO68" s="9"/>
      <c r="AP68" s="6">
        <v>0</v>
      </c>
      <c r="AQ68" s="9"/>
      <c r="AR68" s="9"/>
      <c r="AS68" s="9"/>
      <c r="AT68" s="6">
        <v>182</v>
      </c>
      <c r="AU68" s="9"/>
      <c r="AV68" s="9"/>
      <c r="AW68" s="9"/>
      <c r="AX68" s="6">
        <f>2197-182</f>
        <v>2015</v>
      </c>
      <c r="AY68" s="9"/>
      <c r="AZ68" s="9"/>
      <c r="BA68" s="9"/>
      <c r="BB68" s="9"/>
      <c r="BC68" s="9"/>
      <c r="BD68" s="9"/>
      <c r="BE68" s="9"/>
      <c r="BF68" s="9"/>
      <c r="BG68" s="9"/>
      <c r="BH68" s="9"/>
      <c r="BI68" s="9"/>
      <c r="BJ68" s="9"/>
      <c r="BK68" s="9"/>
      <c r="BL68" s="9"/>
      <c r="BM68" s="9"/>
      <c r="BN68" s="6">
        <f t="shared" si="13"/>
        <v>2197</v>
      </c>
      <c r="BO68" s="9"/>
      <c r="BP68" s="6">
        <f>41160-26528</f>
        <v>14632</v>
      </c>
      <c r="BQ68" s="9"/>
      <c r="BR68" s="6">
        <f t="shared" si="14"/>
        <v>38963</v>
      </c>
      <c r="BS68" s="6"/>
      <c r="BT68" s="6">
        <f t="shared" si="15"/>
        <v>41160</v>
      </c>
      <c r="BU68" s="6"/>
      <c r="BV68" s="6">
        <f t="shared" si="16"/>
        <v>-14632</v>
      </c>
      <c r="BW68" s="9"/>
    </row>
    <row r="69" spans="1:77" s="21" customFormat="1">
      <c r="A69" s="31"/>
      <c r="B69" s="234" t="s">
        <v>304</v>
      </c>
      <c r="J69" s="8"/>
      <c r="L69" s="141"/>
      <c r="M69" s="9"/>
      <c r="N69" s="9"/>
      <c r="O69" s="9"/>
      <c r="P69" s="9"/>
      <c r="Q69" s="9"/>
      <c r="R69" s="231">
        <v>94700</v>
      </c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J69" s="9"/>
      <c r="AL69" s="9"/>
      <c r="AN69" s="9"/>
      <c r="AO69" s="9"/>
      <c r="AP69" s="6">
        <v>0</v>
      </c>
      <c r="AQ69" s="9"/>
      <c r="AR69" s="9"/>
      <c r="AS69" s="9"/>
      <c r="AT69" s="6">
        <v>0</v>
      </c>
      <c r="AU69" s="9"/>
      <c r="AV69" s="9"/>
      <c r="AW69" s="9"/>
      <c r="AX69" s="6">
        <v>41858</v>
      </c>
      <c r="AY69" s="9"/>
      <c r="AZ69" s="9"/>
      <c r="BA69" s="9"/>
      <c r="BB69" s="9"/>
      <c r="BC69" s="9"/>
      <c r="BD69" s="9"/>
      <c r="BE69" s="9"/>
      <c r="BF69" s="9"/>
      <c r="BG69" s="9"/>
      <c r="BH69" s="9"/>
      <c r="BI69" s="9"/>
      <c r="BJ69" s="9"/>
      <c r="BK69" s="9"/>
      <c r="BL69" s="9"/>
      <c r="BM69" s="9"/>
      <c r="BN69" s="6">
        <f t="shared" si="13"/>
        <v>41858</v>
      </c>
      <c r="BO69" s="9"/>
      <c r="BP69" s="9"/>
      <c r="BQ69" s="9"/>
      <c r="BR69" s="6">
        <f t="shared" si="14"/>
        <v>52842</v>
      </c>
      <c r="BS69" s="6"/>
      <c r="BT69" s="6">
        <f t="shared" si="15"/>
        <v>94700</v>
      </c>
      <c r="BU69" s="6"/>
      <c r="BV69" s="6">
        <f t="shared" si="16"/>
        <v>0</v>
      </c>
      <c r="BW69" s="9"/>
    </row>
    <row r="70" spans="1:77" s="21" customFormat="1">
      <c r="A70" s="31"/>
      <c r="B70" s="234" t="s">
        <v>305</v>
      </c>
      <c r="J70" s="8"/>
      <c r="L70" s="141"/>
      <c r="M70" s="9"/>
      <c r="N70" s="9"/>
      <c r="O70" s="9"/>
      <c r="P70" s="9"/>
      <c r="Q70" s="9"/>
      <c r="R70" s="231">
        <v>70928</v>
      </c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J70" s="9"/>
      <c r="AL70" s="9"/>
      <c r="AN70" s="9"/>
      <c r="AO70" s="9"/>
      <c r="AP70" s="6">
        <v>0</v>
      </c>
      <c r="AQ70" s="9"/>
      <c r="AR70" s="9"/>
      <c r="AS70" s="9"/>
      <c r="AT70" s="6">
        <v>0</v>
      </c>
      <c r="AU70" s="9"/>
      <c r="AV70" s="9"/>
      <c r="AW70" s="9"/>
      <c r="AX70" s="6">
        <f>5580+1244</f>
        <v>6824</v>
      </c>
      <c r="AY70" s="9"/>
      <c r="AZ70" s="9"/>
      <c r="BA70" s="9"/>
      <c r="BB70" s="9"/>
      <c r="BC70" s="9"/>
      <c r="BD70" s="9"/>
      <c r="BE70" s="9"/>
      <c r="BF70" s="9"/>
      <c r="BG70" s="9"/>
      <c r="BH70" s="9"/>
      <c r="BI70" s="9"/>
      <c r="BJ70" s="9"/>
      <c r="BK70" s="9"/>
      <c r="BL70" s="9"/>
      <c r="BM70" s="9"/>
      <c r="BN70" s="6">
        <f t="shared" si="13"/>
        <v>6824</v>
      </c>
      <c r="BO70" s="9"/>
      <c r="BP70" s="9">
        <v>0</v>
      </c>
      <c r="BQ70" s="9"/>
      <c r="BR70" s="6">
        <f t="shared" si="14"/>
        <v>64104</v>
      </c>
      <c r="BS70" s="6"/>
      <c r="BT70" s="6">
        <f t="shared" si="15"/>
        <v>70928</v>
      </c>
      <c r="BU70" s="6"/>
      <c r="BV70" s="6">
        <f t="shared" si="16"/>
        <v>0</v>
      </c>
      <c r="BW70" s="9"/>
    </row>
    <row r="71" spans="1:77" s="21" customFormat="1">
      <c r="A71" s="31"/>
      <c r="B71" s="234" t="s">
        <v>306</v>
      </c>
      <c r="J71" s="8"/>
      <c r="L71" s="141"/>
      <c r="M71" s="9"/>
      <c r="N71" s="9"/>
      <c r="O71" s="9"/>
      <c r="P71" s="9"/>
      <c r="Q71" s="9"/>
      <c r="R71" s="231">
        <v>625218</v>
      </c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J71" s="9"/>
      <c r="AL71" s="9"/>
      <c r="AN71" s="9"/>
      <c r="AO71" s="9"/>
      <c r="AP71" s="6">
        <v>0</v>
      </c>
      <c r="AQ71" s="9"/>
      <c r="AR71" s="9"/>
      <c r="AS71" s="9"/>
      <c r="AT71" s="6">
        <v>0</v>
      </c>
      <c r="AU71" s="9"/>
      <c r="AV71" s="9"/>
      <c r="AW71" s="9"/>
      <c r="AX71" s="6">
        <v>130320</v>
      </c>
      <c r="AY71" s="9"/>
      <c r="AZ71" s="9"/>
      <c r="BA71" s="9"/>
      <c r="BB71" s="9"/>
      <c r="BC71" s="9"/>
      <c r="BD71" s="9"/>
      <c r="BE71" s="9"/>
      <c r="BF71" s="9"/>
      <c r="BG71" s="9"/>
      <c r="BH71" s="9"/>
      <c r="BI71" s="9"/>
      <c r="BJ71" s="9"/>
      <c r="BK71" s="9"/>
      <c r="BL71" s="9"/>
      <c r="BM71" s="9"/>
      <c r="BN71" s="6">
        <f t="shared" si="13"/>
        <v>130320</v>
      </c>
      <c r="BO71" s="9"/>
      <c r="BP71" s="9"/>
      <c r="BQ71" s="9"/>
      <c r="BR71" s="6">
        <f t="shared" si="14"/>
        <v>494898</v>
      </c>
      <c r="BS71" s="6"/>
      <c r="BT71" s="6">
        <f t="shared" si="15"/>
        <v>625218</v>
      </c>
      <c r="BU71" s="6"/>
      <c r="BV71" s="6">
        <f t="shared" si="16"/>
        <v>0</v>
      </c>
      <c r="BW71" s="9"/>
    </row>
    <row r="72" spans="1:77" s="21" customFormat="1">
      <c r="A72" s="31"/>
      <c r="B72" s="234" t="s">
        <v>391</v>
      </c>
      <c r="J72" s="8"/>
      <c r="L72" s="141"/>
      <c r="M72" s="9"/>
      <c r="N72" s="9"/>
      <c r="O72" s="9"/>
      <c r="P72" s="9"/>
      <c r="Q72" s="9"/>
      <c r="R72" s="231">
        <v>351660</v>
      </c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J72" s="9"/>
      <c r="AL72" s="9"/>
      <c r="AN72" s="9"/>
      <c r="AO72" s="9"/>
      <c r="AP72" s="6">
        <v>0</v>
      </c>
      <c r="AQ72" s="9"/>
      <c r="AR72" s="9"/>
      <c r="AS72" s="9"/>
      <c r="AT72" s="6">
        <v>3409</v>
      </c>
      <c r="AU72" s="9"/>
      <c r="AV72" s="9"/>
      <c r="AW72" s="9"/>
      <c r="AX72" s="6">
        <f>4374-3409</f>
        <v>965</v>
      </c>
      <c r="AY72" s="9"/>
      <c r="AZ72" s="9"/>
      <c r="BA72" s="9"/>
      <c r="BB72" s="9"/>
      <c r="BC72" s="9"/>
      <c r="BD72" s="9"/>
      <c r="BE72" s="9"/>
      <c r="BF72" s="9"/>
      <c r="BG72" s="9"/>
      <c r="BH72" s="9"/>
      <c r="BI72" s="9"/>
      <c r="BJ72" s="9"/>
      <c r="BK72" s="9"/>
      <c r="BL72" s="9"/>
      <c r="BM72" s="9"/>
      <c r="BN72" s="6">
        <f t="shared" si="13"/>
        <v>4374</v>
      </c>
      <c r="BO72" s="9"/>
      <c r="BP72" s="6">
        <f>521832-351660</f>
        <v>170172</v>
      </c>
      <c r="BQ72" s="9"/>
      <c r="BR72" s="6">
        <f t="shared" si="14"/>
        <v>517458</v>
      </c>
      <c r="BS72" s="6"/>
      <c r="BT72" s="6">
        <f t="shared" si="15"/>
        <v>521832</v>
      </c>
      <c r="BU72" s="6"/>
      <c r="BV72" s="6">
        <f t="shared" si="16"/>
        <v>-170172</v>
      </c>
      <c r="BW72" s="9"/>
    </row>
    <row r="73" spans="1:77" s="21" customFormat="1">
      <c r="A73" s="31"/>
      <c r="B73" s="234" t="s">
        <v>392</v>
      </c>
      <c r="J73" s="8"/>
      <c r="L73" s="141"/>
      <c r="M73" s="9"/>
      <c r="N73" s="9"/>
      <c r="O73" s="9"/>
      <c r="P73" s="9"/>
      <c r="Q73" s="9"/>
      <c r="R73" s="231">
        <v>1672316</v>
      </c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J73" s="9"/>
      <c r="AL73" s="9"/>
      <c r="AN73" s="9"/>
      <c r="AO73" s="9"/>
      <c r="AP73" s="6">
        <v>0</v>
      </c>
      <c r="AQ73" s="9"/>
      <c r="AR73" s="9"/>
      <c r="AS73" s="9"/>
      <c r="AT73" s="6">
        <v>3559</v>
      </c>
      <c r="AU73" s="9"/>
      <c r="AV73" s="9"/>
      <c r="AW73" s="9"/>
      <c r="AX73" s="6">
        <f>48259-3559</f>
        <v>44700</v>
      </c>
      <c r="AY73" s="9"/>
      <c r="AZ73" s="9"/>
      <c r="BA73" s="9"/>
      <c r="BB73" s="9"/>
      <c r="BC73" s="9"/>
      <c r="BD73" s="9"/>
      <c r="BE73" s="9"/>
      <c r="BF73" s="9"/>
      <c r="BG73" s="9"/>
      <c r="BH73" s="9"/>
      <c r="BI73" s="9"/>
      <c r="BJ73" s="9"/>
      <c r="BK73" s="9"/>
      <c r="BL73" s="9"/>
      <c r="BM73" s="9"/>
      <c r="BN73" s="6">
        <f t="shared" si="13"/>
        <v>48259</v>
      </c>
      <c r="BO73" s="9"/>
      <c r="BP73" s="6">
        <f>2693778-1672316</f>
        <v>1021462</v>
      </c>
      <c r="BQ73" s="9"/>
      <c r="BR73" s="6">
        <f t="shared" si="14"/>
        <v>2645519</v>
      </c>
      <c r="BS73" s="6"/>
      <c r="BT73" s="6">
        <f t="shared" si="15"/>
        <v>2693778</v>
      </c>
      <c r="BU73" s="6"/>
      <c r="BV73" s="6">
        <f t="shared" si="16"/>
        <v>-1021462</v>
      </c>
      <c r="BW73" s="9"/>
    </row>
    <row r="74" spans="1:77" s="21" customFormat="1">
      <c r="A74" s="31"/>
      <c r="B74" s="234" t="s">
        <v>397</v>
      </c>
      <c r="J74" s="8"/>
      <c r="L74" s="141"/>
      <c r="M74" s="9"/>
      <c r="N74" s="9"/>
      <c r="O74" s="9"/>
      <c r="P74" s="9"/>
      <c r="Q74" s="9"/>
      <c r="R74" s="231">
        <v>373497</v>
      </c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J74" s="9"/>
      <c r="AL74" s="9"/>
      <c r="AN74" s="9"/>
      <c r="AO74" s="9"/>
      <c r="AP74" s="6">
        <v>308</v>
      </c>
      <c r="AQ74" s="9"/>
      <c r="AR74" s="9"/>
      <c r="AS74" s="9"/>
      <c r="AT74" s="6">
        <v>0</v>
      </c>
      <c r="AU74" s="9"/>
      <c r="AV74" s="9"/>
      <c r="AW74" s="9"/>
      <c r="AX74" s="6">
        <f>15157-308</f>
        <v>14849</v>
      </c>
      <c r="AY74" s="9"/>
      <c r="AZ74" s="9"/>
      <c r="BA74" s="9"/>
      <c r="BB74" s="9"/>
      <c r="BC74" s="9"/>
      <c r="BD74" s="9"/>
      <c r="BE74" s="9"/>
      <c r="BF74" s="9"/>
      <c r="BG74" s="9"/>
      <c r="BH74" s="9"/>
      <c r="BI74" s="9"/>
      <c r="BJ74" s="9"/>
      <c r="BK74" s="9"/>
      <c r="BL74" s="9"/>
      <c r="BM74" s="9"/>
      <c r="BN74" s="6">
        <f t="shared" si="13"/>
        <v>15157</v>
      </c>
      <c r="BO74" s="9"/>
      <c r="BP74" s="6">
        <f>510525-373497</f>
        <v>137028</v>
      </c>
      <c r="BQ74" s="9"/>
      <c r="BR74" s="6">
        <f t="shared" si="14"/>
        <v>495368</v>
      </c>
      <c r="BS74" s="6"/>
      <c r="BT74" s="6">
        <f t="shared" si="15"/>
        <v>510525</v>
      </c>
      <c r="BU74" s="6"/>
      <c r="BV74" s="6">
        <f t="shared" si="16"/>
        <v>-137028</v>
      </c>
      <c r="BW74" s="9"/>
    </row>
    <row r="75" spans="1:77" s="21" customFormat="1">
      <c r="A75" s="31"/>
      <c r="B75" s="234" t="s">
        <v>308</v>
      </c>
      <c r="J75" s="8"/>
      <c r="L75" s="141"/>
      <c r="M75" s="9"/>
      <c r="N75" s="9"/>
      <c r="O75" s="9"/>
      <c r="P75" s="9"/>
      <c r="Q75" s="9"/>
      <c r="R75" s="231">
        <f>357127+230665</f>
        <v>587792</v>
      </c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J75" s="9"/>
      <c r="AL75" s="9"/>
      <c r="AN75" s="9"/>
      <c r="AO75" s="9"/>
      <c r="AP75" s="6">
        <v>0</v>
      </c>
      <c r="AQ75" s="9"/>
      <c r="AR75" s="9"/>
      <c r="AS75" s="9"/>
      <c r="AT75" s="6">
        <v>0</v>
      </c>
      <c r="AU75" s="9"/>
      <c r="AV75" s="9"/>
      <c r="AW75" s="9"/>
      <c r="AX75" s="6"/>
      <c r="AY75" s="9"/>
      <c r="AZ75" s="9"/>
      <c r="BA75" s="9"/>
      <c r="BB75" s="9"/>
      <c r="BC75" s="9"/>
      <c r="BD75" s="9"/>
      <c r="BE75" s="9"/>
      <c r="BF75" s="9"/>
      <c r="BG75" s="9"/>
      <c r="BH75" s="9"/>
      <c r="BI75" s="9"/>
      <c r="BJ75" s="9"/>
      <c r="BK75" s="9"/>
      <c r="BL75" s="9"/>
      <c r="BM75" s="9"/>
      <c r="BN75" s="6">
        <f t="shared" si="13"/>
        <v>0</v>
      </c>
      <c r="BO75" s="9"/>
      <c r="BP75" s="9"/>
      <c r="BQ75" s="9"/>
      <c r="BR75" s="6">
        <f t="shared" si="14"/>
        <v>587792</v>
      </c>
      <c r="BS75" s="6"/>
      <c r="BT75" s="6">
        <f t="shared" si="15"/>
        <v>587792</v>
      </c>
      <c r="BU75" s="6"/>
      <c r="BV75" s="6">
        <f t="shared" si="16"/>
        <v>0</v>
      </c>
      <c r="BW75" s="9"/>
    </row>
    <row r="76" spans="1:77" s="21" customFormat="1">
      <c r="A76" s="31"/>
      <c r="B76" s="234" t="s">
        <v>396</v>
      </c>
      <c r="J76" s="8"/>
      <c r="L76" s="141"/>
      <c r="M76" s="9"/>
      <c r="N76" s="9"/>
      <c r="O76" s="9"/>
      <c r="P76" s="9"/>
      <c r="Q76" s="9"/>
      <c r="R76" s="231">
        <v>3449390</v>
      </c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J76" s="9"/>
      <c r="AL76" s="9"/>
      <c r="AN76" s="9"/>
      <c r="AO76" s="9"/>
      <c r="AP76" s="6">
        <f>3795+1050</f>
        <v>4845</v>
      </c>
      <c r="AQ76" s="9"/>
      <c r="AR76" s="9"/>
      <c r="AS76" s="9"/>
      <c r="AT76" s="6">
        <f>85455-3795+41645</f>
        <v>123305</v>
      </c>
      <c r="AU76" s="9"/>
      <c r="AV76" s="9"/>
      <c r="AW76" s="9"/>
      <c r="AX76" s="6">
        <f>519279-127100-1050</f>
        <v>391129</v>
      </c>
      <c r="AY76" s="9"/>
      <c r="AZ76" s="9"/>
      <c r="BA76" s="9"/>
      <c r="BB76" s="9"/>
      <c r="BC76" s="9"/>
      <c r="BD76" s="9"/>
      <c r="BE76" s="9"/>
      <c r="BF76" s="9"/>
      <c r="BG76" s="9"/>
      <c r="BH76" s="9"/>
      <c r="BI76" s="9"/>
      <c r="BJ76" s="9"/>
      <c r="BK76" s="9"/>
      <c r="BL76" s="9"/>
      <c r="BM76" s="9"/>
      <c r="BN76" s="6">
        <f t="shared" si="13"/>
        <v>519279</v>
      </c>
      <c r="BO76" s="9"/>
      <c r="BP76" s="6">
        <f>4266355-3449390</f>
        <v>816965</v>
      </c>
      <c r="BQ76" s="9"/>
      <c r="BR76" s="6">
        <f t="shared" si="14"/>
        <v>3747076</v>
      </c>
      <c r="BS76" s="6"/>
      <c r="BT76" s="6">
        <f t="shared" si="15"/>
        <v>4266355</v>
      </c>
      <c r="BU76" s="6"/>
      <c r="BV76" s="6">
        <f t="shared" si="16"/>
        <v>-816965</v>
      </c>
      <c r="BW76" s="9"/>
    </row>
    <row r="77" spans="1:77" s="21" customFormat="1">
      <c r="A77" s="31"/>
      <c r="B77" s="234" t="s">
        <v>398</v>
      </c>
      <c r="J77" s="8"/>
      <c r="L77" s="141"/>
      <c r="M77" s="9"/>
      <c r="N77" s="9"/>
      <c r="O77" s="9"/>
      <c r="P77" s="9"/>
      <c r="Q77" s="9"/>
      <c r="R77" s="231">
        <v>752310</v>
      </c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J77" s="9"/>
      <c r="AL77" s="9"/>
      <c r="AN77" s="9"/>
      <c r="AO77" s="9"/>
      <c r="AP77" s="6">
        <v>0</v>
      </c>
      <c r="AQ77" s="9"/>
      <c r="AR77" s="9"/>
      <c r="AS77" s="9"/>
      <c r="AT77" s="6">
        <v>544</v>
      </c>
      <c r="AU77" s="9"/>
      <c r="AV77" s="9"/>
      <c r="AW77" s="9"/>
      <c r="AX77" s="6">
        <f>46182-544</f>
        <v>45638</v>
      </c>
      <c r="AY77" s="9"/>
      <c r="AZ77" s="9"/>
      <c r="BA77" s="9"/>
      <c r="BB77" s="9"/>
      <c r="BC77" s="9"/>
      <c r="BD77" s="9"/>
      <c r="BE77" s="9"/>
      <c r="BF77" s="9"/>
      <c r="BG77" s="9"/>
      <c r="BH77" s="9"/>
      <c r="BI77" s="9"/>
      <c r="BJ77" s="9"/>
      <c r="BK77" s="9"/>
      <c r="BL77" s="9"/>
      <c r="BM77" s="9"/>
      <c r="BN77" s="6">
        <f t="shared" si="13"/>
        <v>46182</v>
      </c>
      <c r="BO77" s="9"/>
      <c r="BP77" s="6">
        <f>1011805-752310</f>
        <v>259495</v>
      </c>
      <c r="BQ77" s="9"/>
      <c r="BR77" s="6">
        <f t="shared" si="14"/>
        <v>965623</v>
      </c>
      <c r="BS77" s="6"/>
      <c r="BT77" s="6">
        <f t="shared" si="15"/>
        <v>1011805</v>
      </c>
      <c r="BU77" s="6"/>
      <c r="BV77" s="6">
        <f t="shared" si="16"/>
        <v>-259495</v>
      </c>
      <c r="BW77" s="9"/>
    </row>
    <row r="78" spans="1:77" s="21" customFormat="1">
      <c r="A78" s="31"/>
      <c r="B78" s="234" t="s">
        <v>366</v>
      </c>
      <c r="J78" s="8"/>
      <c r="L78" s="141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J78" s="9"/>
      <c r="AL78" s="9"/>
      <c r="AN78" s="9"/>
      <c r="AO78" s="9"/>
      <c r="AP78" s="9"/>
      <c r="AQ78" s="9"/>
      <c r="AR78" s="9"/>
      <c r="AS78" s="9"/>
      <c r="AT78" s="6">
        <v>3058</v>
      </c>
      <c r="AU78" s="9"/>
      <c r="AV78" s="9"/>
      <c r="AW78" s="9"/>
      <c r="AX78" s="6">
        <f>17027-3058</f>
        <v>13969</v>
      </c>
      <c r="AY78" s="9"/>
      <c r="AZ78" s="9"/>
      <c r="BA78" s="9"/>
      <c r="BB78" s="9"/>
      <c r="BC78" s="9"/>
      <c r="BD78" s="9"/>
      <c r="BE78" s="9"/>
      <c r="BF78" s="9">
        <v>1534960</v>
      </c>
      <c r="BG78" s="9"/>
      <c r="BH78" s="9"/>
      <c r="BI78" s="9"/>
      <c r="BJ78" s="9"/>
      <c r="BK78" s="9"/>
      <c r="BL78" s="9"/>
      <c r="BM78" s="9"/>
      <c r="BN78" s="6">
        <f t="shared" si="13"/>
        <v>1551987</v>
      </c>
      <c r="BO78" s="9"/>
      <c r="BP78" s="6">
        <v>0</v>
      </c>
      <c r="BQ78" s="9"/>
      <c r="BR78" s="6">
        <f>IF(+R78-BN78+BP78&gt;0,R78-BN78+BP78,0)</f>
        <v>0</v>
      </c>
      <c r="BS78" s="6"/>
      <c r="BT78" s="6">
        <f t="shared" si="15"/>
        <v>1551987</v>
      </c>
      <c r="BU78" s="6"/>
      <c r="BV78" s="6">
        <f t="shared" si="16"/>
        <v>-1551987</v>
      </c>
      <c r="BW78" s="9"/>
    </row>
    <row r="79" spans="1:77" s="21" customFormat="1">
      <c r="A79" s="31"/>
      <c r="B79" s="235"/>
      <c r="J79" s="8"/>
      <c r="L79" s="141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J79" s="9"/>
      <c r="AL79" s="9"/>
      <c r="AN79" s="9"/>
      <c r="AO79" s="9"/>
      <c r="AP79" s="9"/>
      <c r="AQ79" s="9"/>
      <c r="AR79" s="9"/>
      <c r="AS79" s="9"/>
      <c r="AT79" s="9"/>
      <c r="AU79" s="9"/>
      <c r="AV79" s="9"/>
      <c r="AW79" s="9"/>
      <c r="AX79" s="6"/>
      <c r="AY79" s="9"/>
      <c r="AZ79" s="9"/>
      <c r="BA79" s="9"/>
      <c r="BB79" s="9"/>
      <c r="BC79" s="9"/>
      <c r="BD79" s="9"/>
      <c r="BE79" s="9"/>
      <c r="BF79" s="9"/>
      <c r="BG79" s="9"/>
      <c r="BH79" s="9"/>
      <c r="BI79" s="9"/>
      <c r="BJ79" s="9"/>
      <c r="BK79" s="9"/>
      <c r="BL79" s="9"/>
      <c r="BM79" s="9"/>
      <c r="BN79" s="9"/>
      <c r="BO79" s="9"/>
      <c r="BP79" s="9"/>
      <c r="BQ79" s="9"/>
      <c r="BR79" s="9"/>
      <c r="BS79" s="9"/>
      <c r="BT79" s="9"/>
      <c r="BU79" s="9"/>
      <c r="BV79" s="9"/>
      <c r="BW79" s="9"/>
    </row>
    <row r="80" spans="1:77" s="21" customFormat="1">
      <c r="A80" s="31"/>
      <c r="B80" s="232" t="s">
        <v>311</v>
      </c>
      <c r="J80" s="8"/>
      <c r="L80" s="141"/>
      <c r="M80" s="9"/>
      <c r="N80" s="9"/>
      <c r="O80" s="9"/>
      <c r="P80" s="9"/>
      <c r="Q80" s="9"/>
      <c r="R80" s="9">
        <f>SUM(R58:R79)</f>
        <v>12276903</v>
      </c>
      <c r="S80" s="9">
        <f t="shared" ref="S80:BW80" si="17">SUM(S58:S79)</f>
        <v>0</v>
      </c>
      <c r="T80" s="9">
        <f t="shared" si="17"/>
        <v>0</v>
      </c>
      <c r="U80" s="9">
        <f t="shared" si="17"/>
        <v>0</v>
      </c>
      <c r="V80" s="9">
        <f t="shared" si="17"/>
        <v>0</v>
      </c>
      <c r="W80" s="9">
        <f t="shared" si="17"/>
        <v>0</v>
      </c>
      <c r="X80" s="9">
        <f t="shared" si="17"/>
        <v>0</v>
      </c>
      <c r="Y80" s="9">
        <f t="shared" si="17"/>
        <v>0</v>
      </c>
      <c r="Z80" s="9">
        <f t="shared" si="17"/>
        <v>0</v>
      </c>
      <c r="AA80" s="9">
        <f t="shared" si="17"/>
        <v>0</v>
      </c>
      <c r="AB80" s="9">
        <f t="shared" si="17"/>
        <v>0</v>
      </c>
      <c r="AC80" s="9">
        <f t="shared" si="17"/>
        <v>0</v>
      </c>
      <c r="AD80" s="9">
        <f t="shared" si="17"/>
        <v>0</v>
      </c>
      <c r="AE80" s="9">
        <f t="shared" si="17"/>
        <v>0</v>
      </c>
      <c r="AF80" s="9">
        <f t="shared" si="17"/>
        <v>0</v>
      </c>
      <c r="AG80" s="9">
        <f t="shared" si="17"/>
        <v>0</v>
      </c>
      <c r="AH80" s="9">
        <f t="shared" si="17"/>
        <v>0</v>
      </c>
      <c r="AI80" s="9">
        <f t="shared" si="17"/>
        <v>0</v>
      </c>
      <c r="AJ80" s="9">
        <f t="shared" si="17"/>
        <v>0</v>
      </c>
      <c r="AK80" s="9">
        <f t="shared" si="17"/>
        <v>0</v>
      </c>
      <c r="AL80" s="9">
        <f t="shared" si="17"/>
        <v>0</v>
      </c>
      <c r="AM80" s="9">
        <f t="shared" si="17"/>
        <v>0</v>
      </c>
      <c r="AN80" s="9">
        <f t="shared" si="17"/>
        <v>0</v>
      </c>
      <c r="AO80" s="9">
        <f t="shared" si="17"/>
        <v>0</v>
      </c>
      <c r="AP80" s="9">
        <f t="shared" si="17"/>
        <v>61343</v>
      </c>
      <c r="AQ80" s="9"/>
      <c r="AR80" s="9">
        <f t="shared" si="17"/>
        <v>0</v>
      </c>
      <c r="AS80" s="9">
        <f t="shared" si="17"/>
        <v>0</v>
      </c>
      <c r="AT80" s="9">
        <f t="shared" si="17"/>
        <v>2112822</v>
      </c>
      <c r="AU80" s="9">
        <f t="shared" si="17"/>
        <v>0</v>
      </c>
      <c r="AV80" s="9">
        <f t="shared" si="17"/>
        <v>0</v>
      </c>
      <c r="AW80" s="9">
        <f t="shared" si="17"/>
        <v>0</v>
      </c>
      <c r="AX80" s="9">
        <f t="shared" si="17"/>
        <v>1909722</v>
      </c>
      <c r="AY80" s="9">
        <f t="shared" si="17"/>
        <v>0</v>
      </c>
      <c r="AZ80" s="9">
        <f t="shared" si="17"/>
        <v>0</v>
      </c>
      <c r="BA80" s="9">
        <f t="shared" si="17"/>
        <v>0</v>
      </c>
      <c r="BB80" s="9">
        <f t="shared" si="17"/>
        <v>0</v>
      </c>
      <c r="BC80" s="9">
        <f t="shared" si="17"/>
        <v>0</v>
      </c>
      <c r="BD80" s="9">
        <f t="shared" si="17"/>
        <v>0</v>
      </c>
      <c r="BE80" s="9">
        <f t="shared" si="17"/>
        <v>0</v>
      </c>
      <c r="BF80" s="9">
        <f t="shared" si="17"/>
        <v>1534960</v>
      </c>
      <c r="BG80" s="9">
        <f t="shared" si="17"/>
        <v>0</v>
      </c>
      <c r="BH80" s="9">
        <f t="shared" si="17"/>
        <v>0</v>
      </c>
      <c r="BI80" s="9">
        <f t="shared" si="17"/>
        <v>0</v>
      </c>
      <c r="BJ80" s="9">
        <f t="shared" si="17"/>
        <v>0</v>
      </c>
      <c r="BK80" s="9">
        <f>SUM(BK58:BK79)</f>
        <v>0</v>
      </c>
      <c r="BL80" s="9">
        <f>SUM(BL58:BL79)</f>
        <v>0</v>
      </c>
      <c r="BM80" s="9">
        <f t="shared" si="17"/>
        <v>0</v>
      </c>
      <c r="BN80" s="9">
        <f t="shared" si="17"/>
        <v>5618847</v>
      </c>
      <c r="BO80" s="9">
        <f t="shared" si="17"/>
        <v>1171784</v>
      </c>
      <c r="BP80" s="9">
        <f t="shared" si="17"/>
        <v>3777273</v>
      </c>
      <c r="BQ80" s="9">
        <f t="shared" si="17"/>
        <v>2643295</v>
      </c>
      <c r="BR80" s="9">
        <f t="shared" si="17"/>
        <v>12041100</v>
      </c>
      <c r="BS80" s="9">
        <f t="shared" si="17"/>
        <v>5668777</v>
      </c>
      <c r="BT80" s="9">
        <f t="shared" si="17"/>
        <v>17659947</v>
      </c>
      <c r="BU80" s="9">
        <f t="shared" si="17"/>
        <v>12305633</v>
      </c>
      <c r="BV80" s="9">
        <f t="shared" si="17"/>
        <v>-5383044</v>
      </c>
      <c r="BW80" s="9">
        <f t="shared" si="17"/>
        <v>1567396</v>
      </c>
    </row>
    <row r="81" spans="1:75" s="21" customFormat="1">
      <c r="A81" s="31"/>
      <c r="B81" s="232"/>
      <c r="J81" s="8"/>
      <c r="L81" s="141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J81" s="9"/>
      <c r="AL81" s="9"/>
      <c r="AN81" s="9"/>
      <c r="AO81" s="9"/>
      <c r="AP81" s="9"/>
      <c r="AQ81" s="9"/>
      <c r="AR81" s="9"/>
      <c r="AS81" s="9"/>
      <c r="AT81" s="9"/>
      <c r="AU81" s="9"/>
      <c r="AV81" s="9"/>
      <c r="AW81" s="9"/>
      <c r="AX81" s="9"/>
      <c r="AY81" s="9"/>
      <c r="AZ81" s="9"/>
      <c r="BA81" s="9"/>
      <c r="BB81" s="9"/>
      <c r="BC81" s="9"/>
      <c r="BD81" s="9"/>
      <c r="BE81" s="9"/>
      <c r="BF81" s="9"/>
      <c r="BG81" s="9"/>
      <c r="BH81" s="9"/>
      <c r="BI81" s="9"/>
      <c r="BJ81" s="9"/>
      <c r="BK81" s="9"/>
      <c r="BL81" s="9"/>
      <c r="BM81" s="9"/>
      <c r="BN81" s="9"/>
      <c r="BO81" s="9"/>
      <c r="BP81" s="9"/>
      <c r="BQ81" s="9"/>
      <c r="BR81" s="9"/>
      <c r="BS81" s="9"/>
      <c r="BT81" s="9"/>
      <c r="BU81" s="9"/>
      <c r="BV81" s="9"/>
      <c r="BW81" s="9"/>
    </row>
    <row r="82" spans="1:75" s="21" customFormat="1">
      <c r="A82" s="31"/>
      <c r="B82" s="237" t="s">
        <v>313</v>
      </c>
      <c r="J82" s="8"/>
      <c r="L82" s="141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J82" s="9"/>
      <c r="AL82" s="9"/>
      <c r="AN82" s="9"/>
      <c r="AO82" s="9"/>
      <c r="AP82" s="9"/>
      <c r="AQ82" s="9"/>
      <c r="AR82" s="9"/>
      <c r="AS82" s="9"/>
      <c r="AT82" s="9"/>
      <c r="AU82" s="9"/>
      <c r="AV82" s="9"/>
      <c r="AW82" s="9"/>
      <c r="AX82" s="9"/>
      <c r="AY82" s="9"/>
      <c r="AZ82" s="9"/>
      <c r="BA82" s="9"/>
      <c r="BB82" s="9"/>
      <c r="BC82" s="9"/>
      <c r="BD82" s="9"/>
      <c r="BE82" s="9"/>
      <c r="BF82" s="9"/>
      <c r="BG82" s="9"/>
      <c r="BH82" s="9"/>
      <c r="BI82" s="9"/>
      <c r="BJ82" s="9"/>
      <c r="BK82" s="9"/>
      <c r="BL82" s="9"/>
      <c r="BM82" s="9"/>
      <c r="BN82" s="9"/>
      <c r="BO82" s="9"/>
      <c r="BP82" s="9"/>
      <c r="BQ82" s="9"/>
      <c r="BR82" s="9"/>
      <c r="BS82" s="9"/>
      <c r="BT82" s="9"/>
      <c r="BU82" s="9"/>
      <c r="BV82" s="9"/>
      <c r="BW82" s="9"/>
    </row>
    <row r="83" spans="1:75" s="21" customFormat="1">
      <c r="A83" s="31"/>
      <c r="B83" s="236" t="s">
        <v>67</v>
      </c>
      <c r="J83" s="8"/>
      <c r="L83" s="141"/>
      <c r="M83" s="9"/>
      <c r="N83" s="9"/>
      <c r="O83" s="9"/>
      <c r="P83" s="9"/>
      <c r="Q83" s="9"/>
      <c r="R83" s="231">
        <v>7824800</v>
      </c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J83" s="9"/>
      <c r="AL83" s="9"/>
      <c r="AN83" s="9"/>
      <c r="AO83" s="9"/>
      <c r="AP83" s="9"/>
      <c r="AQ83" s="9"/>
      <c r="AR83" s="9"/>
      <c r="AS83" s="9"/>
      <c r="AT83" s="6">
        <v>355795</v>
      </c>
      <c r="AU83" s="9"/>
      <c r="AV83" s="9"/>
      <c r="AW83" s="9"/>
      <c r="AX83" s="6">
        <f>2255645-355795</f>
        <v>1899850</v>
      </c>
      <c r="AY83" s="9"/>
      <c r="AZ83" s="9"/>
      <c r="BA83" s="9"/>
      <c r="BB83" s="9"/>
      <c r="BC83" s="9"/>
      <c r="BD83" s="9"/>
      <c r="BE83" s="9"/>
      <c r="BF83" s="9"/>
      <c r="BG83" s="9"/>
      <c r="BH83" s="9"/>
      <c r="BI83" s="9"/>
      <c r="BJ83" s="9"/>
      <c r="BK83" s="9"/>
      <c r="BL83" s="9"/>
      <c r="BM83" s="9"/>
      <c r="BN83" s="6">
        <f>SUM(T83:BM83)</f>
        <v>2255645</v>
      </c>
      <c r="BO83" s="9"/>
      <c r="BP83" s="6">
        <f>10145929-7824800</f>
        <v>2321129</v>
      </c>
      <c r="BQ83" s="9"/>
      <c r="BR83" s="6">
        <f>IF(+R83-BN83+BP83&gt;0,R83-BN83+BP83,0)</f>
        <v>7890284</v>
      </c>
      <c r="BS83" s="6"/>
      <c r="BT83" s="6">
        <f>+BN83+BR83</f>
        <v>10145929</v>
      </c>
      <c r="BU83" s="6"/>
      <c r="BV83" s="6">
        <f>+R83-BT83</f>
        <v>-2321129</v>
      </c>
      <c r="BW83" s="9"/>
    </row>
    <row r="84" spans="1:75" s="21" customFormat="1">
      <c r="A84" s="31"/>
      <c r="B84" s="229"/>
      <c r="J84" s="8"/>
      <c r="L84" s="141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J84" s="9"/>
      <c r="AL84" s="9"/>
      <c r="AN84" s="9"/>
      <c r="AO84" s="9"/>
      <c r="AP84" s="9"/>
      <c r="AQ84" s="9"/>
      <c r="AR84" s="9"/>
      <c r="AS84" s="9"/>
      <c r="AT84" s="9"/>
      <c r="AU84" s="9"/>
      <c r="AV84" s="9"/>
      <c r="AW84" s="9"/>
      <c r="AX84" s="9"/>
      <c r="AY84" s="9"/>
      <c r="AZ84" s="9"/>
      <c r="BA84" s="9"/>
      <c r="BB84" s="9"/>
      <c r="BC84" s="9"/>
      <c r="BD84" s="9"/>
      <c r="BE84" s="9"/>
      <c r="BF84" s="9"/>
      <c r="BG84" s="9"/>
      <c r="BH84" s="9"/>
      <c r="BI84" s="9"/>
      <c r="BJ84" s="9"/>
      <c r="BK84" s="9"/>
      <c r="BL84" s="9"/>
      <c r="BM84" s="9"/>
      <c r="BN84" s="9"/>
      <c r="BO84" s="9"/>
      <c r="BP84" s="9"/>
      <c r="BQ84" s="9"/>
      <c r="BR84" s="9"/>
      <c r="BS84" s="9"/>
      <c r="BT84" s="9"/>
      <c r="BU84" s="9"/>
      <c r="BV84" s="9"/>
      <c r="BW84" s="9"/>
    </row>
    <row r="85" spans="1:75" s="21" customFormat="1">
      <c r="A85" s="31"/>
      <c r="B85" s="230" t="s">
        <v>312</v>
      </c>
      <c r="J85" s="8"/>
      <c r="L85" s="141"/>
      <c r="M85" s="9"/>
      <c r="N85" s="9"/>
      <c r="O85" s="9"/>
      <c r="P85" s="9"/>
      <c r="Q85" s="9"/>
      <c r="R85" s="9">
        <f t="shared" ref="R85:AW85" si="18">SUM(R83:R84)</f>
        <v>7824800</v>
      </c>
      <c r="S85" s="9">
        <f t="shared" si="18"/>
        <v>0</v>
      </c>
      <c r="T85" s="9">
        <f t="shared" si="18"/>
        <v>0</v>
      </c>
      <c r="U85" s="9">
        <f t="shared" si="18"/>
        <v>0</v>
      </c>
      <c r="V85" s="9">
        <f t="shared" si="18"/>
        <v>0</v>
      </c>
      <c r="W85" s="9">
        <f t="shared" si="18"/>
        <v>0</v>
      </c>
      <c r="X85" s="9">
        <f t="shared" si="18"/>
        <v>0</v>
      </c>
      <c r="Y85" s="9">
        <f t="shared" si="18"/>
        <v>0</v>
      </c>
      <c r="Z85" s="9">
        <f t="shared" si="18"/>
        <v>0</v>
      </c>
      <c r="AA85" s="9">
        <f t="shared" si="18"/>
        <v>0</v>
      </c>
      <c r="AB85" s="9">
        <f t="shared" si="18"/>
        <v>0</v>
      </c>
      <c r="AC85" s="9">
        <f t="shared" si="18"/>
        <v>0</v>
      </c>
      <c r="AD85" s="9">
        <f t="shared" si="18"/>
        <v>0</v>
      </c>
      <c r="AE85" s="9">
        <f t="shared" si="18"/>
        <v>0</v>
      </c>
      <c r="AF85" s="9">
        <f t="shared" si="18"/>
        <v>0</v>
      </c>
      <c r="AG85" s="9">
        <f t="shared" si="18"/>
        <v>0</v>
      </c>
      <c r="AH85" s="9">
        <f t="shared" si="18"/>
        <v>0</v>
      </c>
      <c r="AI85" s="9">
        <f t="shared" si="18"/>
        <v>0</v>
      </c>
      <c r="AJ85" s="9">
        <f t="shared" si="18"/>
        <v>0</v>
      </c>
      <c r="AK85" s="9">
        <f t="shared" si="18"/>
        <v>0</v>
      </c>
      <c r="AL85" s="9">
        <f t="shared" si="18"/>
        <v>0</v>
      </c>
      <c r="AM85" s="9">
        <f t="shared" si="18"/>
        <v>0</v>
      </c>
      <c r="AN85" s="9">
        <f t="shared" si="18"/>
        <v>0</v>
      </c>
      <c r="AO85" s="9">
        <f t="shared" si="18"/>
        <v>0</v>
      </c>
      <c r="AP85" s="9">
        <f t="shared" si="18"/>
        <v>0</v>
      </c>
      <c r="AQ85" s="9"/>
      <c r="AR85" s="9">
        <f t="shared" si="18"/>
        <v>0</v>
      </c>
      <c r="AS85" s="9">
        <f t="shared" si="18"/>
        <v>0</v>
      </c>
      <c r="AT85" s="9">
        <f t="shared" si="18"/>
        <v>355795</v>
      </c>
      <c r="AU85" s="9">
        <f t="shared" si="18"/>
        <v>0</v>
      </c>
      <c r="AV85" s="9">
        <f t="shared" si="18"/>
        <v>0</v>
      </c>
      <c r="AW85" s="9">
        <f t="shared" si="18"/>
        <v>0</v>
      </c>
      <c r="AX85" s="9">
        <f t="shared" ref="AX85:BV85" si="19">SUM(AX83:AX84)</f>
        <v>1899850</v>
      </c>
      <c r="AY85" s="9">
        <f t="shared" si="19"/>
        <v>0</v>
      </c>
      <c r="AZ85" s="9">
        <f t="shared" si="19"/>
        <v>0</v>
      </c>
      <c r="BA85" s="9">
        <f t="shared" si="19"/>
        <v>0</v>
      </c>
      <c r="BB85" s="9">
        <f t="shared" si="19"/>
        <v>0</v>
      </c>
      <c r="BC85" s="9">
        <f t="shared" si="19"/>
        <v>0</v>
      </c>
      <c r="BD85" s="9">
        <f t="shared" si="19"/>
        <v>0</v>
      </c>
      <c r="BE85" s="9">
        <f t="shared" si="19"/>
        <v>0</v>
      </c>
      <c r="BF85" s="9">
        <f t="shared" si="19"/>
        <v>0</v>
      </c>
      <c r="BG85" s="9">
        <f t="shared" si="19"/>
        <v>0</v>
      </c>
      <c r="BH85" s="9">
        <f t="shared" si="19"/>
        <v>0</v>
      </c>
      <c r="BI85" s="9">
        <f t="shared" si="19"/>
        <v>0</v>
      </c>
      <c r="BJ85" s="9">
        <f t="shared" si="19"/>
        <v>0</v>
      </c>
      <c r="BK85" s="9">
        <f>SUM(BK83:BK84)</f>
        <v>0</v>
      </c>
      <c r="BL85" s="9">
        <f>SUM(BL83:BL84)</f>
        <v>0</v>
      </c>
      <c r="BM85" s="9">
        <f t="shared" si="19"/>
        <v>0</v>
      </c>
      <c r="BN85" s="9">
        <f t="shared" si="19"/>
        <v>2255645</v>
      </c>
      <c r="BO85" s="9">
        <f t="shared" si="19"/>
        <v>0</v>
      </c>
      <c r="BP85" s="9">
        <f t="shared" si="19"/>
        <v>2321129</v>
      </c>
      <c r="BQ85" s="9">
        <f t="shared" si="19"/>
        <v>0</v>
      </c>
      <c r="BR85" s="9">
        <f t="shared" si="19"/>
        <v>7890284</v>
      </c>
      <c r="BS85" s="9">
        <f t="shared" si="19"/>
        <v>0</v>
      </c>
      <c r="BT85" s="9">
        <f t="shared" si="19"/>
        <v>10145929</v>
      </c>
      <c r="BU85" s="9">
        <f t="shared" si="19"/>
        <v>0</v>
      </c>
      <c r="BV85" s="9">
        <f t="shared" si="19"/>
        <v>-2321129</v>
      </c>
      <c r="BW85" s="9"/>
    </row>
    <row r="86" spans="1:75" s="21" customFormat="1">
      <c r="A86" s="31"/>
      <c r="B86" s="230"/>
      <c r="J86" s="8"/>
      <c r="L86" s="141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  <c r="AV86" s="9"/>
      <c r="AW86" s="9"/>
      <c r="AX86" s="9"/>
      <c r="AY86" s="9"/>
      <c r="AZ86" s="9"/>
      <c r="BA86" s="9"/>
      <c r="BB86" s="9"/>
      <c r="BC86" s="9"/>
      <c r="BD86" s="9"/>
      <c r="BE86" s="9"/>
      <c r="BF86" s="9"/>
      <c r="BG86" s="9"/>
      <c r="BH86" s="9"/>
      <c r="BI86" s="9"/>
      <c r="BJ86" s="9"/>
      <c r="BK86" s="9"/>
      <c r="BL86" s="9"/>
      <c r="BM86" s="9"/>
      <c r="BN86" s="9"/>
      <c r="BO86" s="9"/>
      <c r="BP86" s="9"/>
      <c r="BQ86" s="9"/>
      <c r="BR86" s="9"/>
      <c r="BS86" s="9"/>
      <c r="BT86" s="9"/>
      <c r="BU86" s="9"/>
      <c r="BV86" s="9"/>
      <c r="BW86" s="9"/>
    </row>
    <row r="87" spans="1:75" s="21" customFormat="1">
      <c r="A87" s="31"/>
      <c r="B87" s="237" t="s">
        <v>368</v>
      </c>
      <c r="J87" s="8"/>
      <c r="L87" s="141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>
        <f>-6181306+5237441</f>
        <v>-943865</v>
      </c>
      <c r="AU87" s="9"/>
      <c r="AV87" s="9"/>
      <c r="AW87" s="9"/>
      <c r="AX87" s="9"/>
      <c r="AY87" s="9"/>
      <c r="AZ87" s="9"/>
      <c r="BA87" s="9"/>
      <c r="BB87" s="9"/>
      <c r="BC87" s="9"/>
      <c r="BD87" s="9"/>
      <c r="BE87" s="9"/>
      <c r="BF87" s="9"/>
      <c r="BG87" s="9"/>
      <c r="BH87" s="9"/>
      <c r="BI87" s="9"/>
      <c r="BJ87" s="9"/>
      <c r="BK87" s="9"/>
      <c r="BL87" s="9"/>
      <c r="BM87" s="9"/>
      <c r="BN87" s="6">
        <f>SUM(T87:BM87)</f>
        <v>-943865</v>
      </c>
      <c r="BO87" s="9"/>
      <c r="BP87" s="9"/>
      <c r="BQ87" s="9"/>
      <c r="BR87" s="9">
        <v>0</v>
      </c>
      <c r="BS87" s="9"/>
      <c r="BT87" s="6"/>
      <c r="BU87" s="9"/>
      <c r="BV87" s="6">
        <f>+R87-BT87</f>
        <v>0</v>
      </c>
      <c r="BW87" s="9"/>
    </row>
    <row r="88" spans="1:75" s="21" customFormat="1">
      <c r="A88" s="31"/>
      <c r="B88" s="230"/>
      <c r="J88" s="8"/>
      <c r="L88" s="141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/>
      <c r="AY88" s="9"/>
      <c r="AZ88" s="9"/>
      <c r="BA88" s="9"/>
      <c r="BB88" s="9"/>
      <c r="BC88" s="9"/>
      <c r="BD88" s="9"/>
      <c r="BE88" s="9"/>
      <c r="BF88" s="9"/>
      <c r="BG88" s="9"/>
      <c r="BH88" s="9"/>
      <c r="BI88" s="9"/>
      <c r="BJ88" s="9"/>
      <c r="BK88" s="9"/>
      <c r="BL88" s="9"/>
      <c r="BM88" s="9"/>
      <c r="BN88" s="9"/>
      <c r="BO88" s="9"/>
      <c r="BP88" s="9"/>
      <c r="BQ88" s="9"/>
      <c r="BR88" s="9"/>
      <c r="BS88" s="9"/>
      <c r="BT88" s="9"/>
      <c r="BU88" s="9"/>
      <c r="BV88" s="9"/>
      <c r="BW88" s="9"/>
    </row>
    <row r="89" spans="1:75" s="21" customFormat="1">
      <c r="A89" s="31"/>
      <c r="B89" s="237" t="s">
        <v>314</v>
      </c>
      <c r="J89" s="8"/>
      <c r="L89" s="141"/>
      <c r="M89" s="9"/>
      <c r="N89" s="9"/>
      <c r="O89" s="9"/>
      <c r="P89" s="9"/>
      <c r="Q89" s="9"/>
      <c r="R89" s="9">
        <v>0</v>
      </c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>
        <f>4455378.55-803822</f>
        <v>3651556.55</v>
      </c>
      <c r="AQ89" s="9"/>
      <c r="AR89" s="9">
        <v>0</v>
      </c>
      <c r="AS89" s="9"/>
      <c r="AT89" s="9">
        <f>6181305.57-4997735</f>
        <v>1183570.5700000003</v>
      </c>
      <c r="AU89" s="9"/>
      <c r="AV89" s="9">
        <v>5993551</v>
      </c>
      <c r="AW89" s="9"/>
      <c r="AX89" s="9">
        <v>123980</v>
      </c>
      <c r="AY89" s="9"/>
      <c r="AZ89" s="9">
        <f>6627015+1.5</f>
        <v>6627016.5</v>
      </c>
      <c r="BA89" s="9"/>
      <c r="BB89" s="9"/>
      <c r="BC89" s="9"/>
      <c r="BD89" s="9">
        <f>8209613+2815680</f>
        <v>11025293</v>
      </c>
      <c r="BE89" s="9"/>
      <c r="BF89" s="9"/>
      <c r="BG89" s="9"/>
      <c r="BH89" s="9"/>
      <c r="BI89" s="9"/>
      <c r="BJ89" s="9"/>
      <c r="BK89" s="9"/>
      <c r="BL89" s="9"/>
      <c r="BM89" s="9"/>
      <c r="BN89" s="6">
        <f>SUM(T89:BM89)</f>
        <v>28604967.620000001</v>
      </c>
      <c r="BO89" s="9"/>
      <c r="BP89" s="9">
        <f>43494000-40678250</f>
        <v>2815750</v>
      </c>
      <c r="BQ89" s="9"/>
      <c r="BR89" s="6">
        <f>-31433706+2634960.45</f>
        <v>-28798745.550000001</v>
      </c>
      <c r="BS89" s="9"/>
      <c r="BT89" s="6">
        <f>-46166603+43494000</f>
        <v>-2672603</v>
      </c>
      <c r="BU89" s="6"/>
      <c r="BV89" s="6">
        <f>+R89-BT89</f>
        <v>2672603</v>
      </c>
      <c r="BW89" s="9"/>
    </row>
    <row r="90" spans="1:75" s="21" customFormat="1">
      <c r="A90" s="31"/>
      <c r="B90" s="232"/>
      <c r="J90" s="8"/>
      <c r="L90" s="141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J90" s="9"/>
      <c r="AL90" s="9"/>
      <c r="AN90" s="9"/>
      <c r="AO90" s="9"/>
      <c r="AP90" s="9"/>
      <c r="AQ90" s="9"/>
      <c r="AR90" s="9"/>
      <c r="AS90" s="9"/>
      <c r="AT90" s="9"/>
      <c r="AU90" s="9"/>
      <c r="AV90" s="9"/>
      <c r="AW90" s="9"/>
      <c r="AX90" s="9"/>
      <c r="AY90" s="9"/>
      <c r="AZ90" s="9"/>
      <c r="BA90" s="9"/>
      <c r="BB90" s="9"/>
      <c r="BC90" s="9"/>
      <c r="BD90" s="9"/>
      <c r="BE90" s="9"/>
      <c r="BF90" s="9"/>
      <c r="BG90" s="9"/>
      <c r="BH90" s="9"/>
      <c r="BI90" s="9"/>
      <c r="BJ90" s="9"/>
      <c r="BK90" s="9"/>
      <c r="BL90" s="9"/>
      <c r="BM90" s="9"/>
      <c r="BN90" s="9"/>
      <c r="BO90" s="9"/>
      <c r="BP90" s="9"/>
      <c r="BQ90" s="9"/>
      <c r="BR90" s="9"/>
      <c r="BS90" s="9"/>
      <c r="BT90" s="9"/>
      <c r="BU90" s="9"/>
      <c r="BV90" s="9"/>
      <c r="BW90" s="9"/>
    </row>
    <row r="91" spans="1:75" s="105" customFormat="1">
      <c r="A91" s="54"/>
      <c r="B91" s="238" t="s">
        <v>243</v>
      </c>
      <c r="J91" s="155"/>
      <c r="L91" s="142"/>
      <c r="M91" s="13"/>
      <c r="N91" s="239">
        <f>SUM(N38:N90)</f>
        <v>0</v>
      </c>
      <c r="O91" s="13"/>
      <c r="P91" s="239">
        <f>SUM(P38:P90)</f>
        <v>0</v>
      </c>
      <c r="Q91" s="13"/>
      <c r="R91" s="239">
        <f t="shared" ref="R91:AS91" si="20">R85+R80+R55+R48+R89</f>
        <v>37943200</v>
      </c>
      <c r="S91" s="239">
        <f t="shared" si="20"/>
        <v>0</v>
      </c>
      <c r="T91" s="239">
        <f t="shared" si="20"/>
        <v>0</v>
      </c>
      <c r="U91" s="239">
        <f t="shared" si="20"/>
        <v>0</v>
      </c>
      <c r="V91" s="239">
        <f t="shared" si="20"/>
        <v>0</v>
      </c>
      <c r="W91" s="239">
        <f t="shared" si="20"/>
        <v>0</v>
      </c>
      <c r="X91" s="239">
        <f t="shared" si="20"/>
        <v>0</v>
      </c>
      <c r="Y91" s="239">
        <f t="shared" si="20"/>
        <v>0</v>
      </c>
      <c r="Z91" s="239">
        <f t="shared" si="20"/>
        <v>0</v>
      </c>
      <c r="AA91" s="239">
        <f t="shared" si="20"/>
        <v>0</v>
      </c>
      <c r="AB91" s="239">
        <f t="shared" si="20"/>
        <v>0</v>
      </c>
      <c r="AC91" s="239">
        <f t="shared" si="20"/>
        <v>0</v>
      </c>
      <c r="AD91" s="239">
        <f t="shared" si="20"/>
        <v>0</v>
      </c>
      <c r="AE91" s="239">
        <f t="shared" si="20"/>
        <v>0</v>
      </c>
      <c r="AF91" s="239">
        <f t="shared" si="20"/>
        <v>0</v>
      </c>
      <c r="AG91" s="239">
        <f t="shared" si="20"/>
        <v>0</v>
      </c>
      <c r="AH91" s="239">
        <f t="shared" si="20"/>
        <v>0</v>
      </c>
      <c r="AI91" s="239">
        <f t="shared" si="20"/>
        <v>0</v>
      </c>
      <c r="AJ91" s="239">
        <f t="shared" si="20"/>
        <v>0</v>
      </c>
      <c r="AK91" s="239">
        <f t="shared" si="20"/>
        <v>0</v>
      </c>
      <c r="AL91" s="239">
        <f t="shared" si="20"/>
        <v>0</v>
      </c>
      <c r="AM91" s="239">
        <f t="shared" si="20"/>
        <v>0</v>
      </c>
      <c r="AN91" s="239">
        <f t="shared" si="20"/>
        <v>0</v>
      </c>
      <c r="AO91" s="239">
        <f t="shared" si="20"/>
        <v>0</v>
      </c>
      <c r="AP91" s="239">
        <f t="shared" si="20"/>
        <v>4455378.55</v>
      </c>
      <c r="AQ91" s="239"/>
      <c r="AR91" s="239">
        <f t="shared" si="20"/>
        <v>0</v>
      </c>
      <c r="AS91" s="239">
        <f t="shared" si="20"/>
        <v>0</v>
      </c>
      <c r="AT91" s="239">
        <f t="shared" ref="AT91:BV91" si="21">AT85+AT80+AT55+AT48+AT89+AT87</f>
        <v>5237440.57</v>
      </c>
      <c r="AU91" s="239">
        <f t="shared" si="21"/>
        <v>0</v>
      </c>
      <c r="AV91" s="239">
        <f t="shared" si="21"/>
        <v>5993551</v>
      </c>
      <c r="AW91" s="239">
        <f t="shared" si="21"/>
        <v>0</v>
      </c>
      <c r="AX91" s="239">
        <f t="shared" si="21"/>
        <v>7520360</v>
      </c>
      <c r="AY91" s="239">
        <f t="shared" si="21"/>
        <v>0</v>
      </c>
      <c r="AZ91" s="239">
        <f t="shared" si="21"/>
        <v>6627016.5</v>
      </c>
      <c r="BA91" s="239">
        <f t="shared" si="21"/>
        <v>0</v>
      </c>
      <c r="BB91" s="239">
        <f t="shared" si="21"/>
        <v>0</v>
      </c>
      <c r="BC91" s="239">
        <f t="shared" si="21"/>
        <v>0</v>
      </c>
      <c r="BD91" s="239">
        <f t="shared" si="21"/>
        <v>11025293</v>
      </c>
      <c r="BE91" s="239">
        <f t="shared" si="21"/>
        <v>0</v>
      </c>
      <c r="BF91" s="239">
        <f t="shared" si="21"/>
        <v>1534960</v>
      </c>
      <c r="BG91" s="239">
        <f t="shared" si="21"/>
        <v>0</v>
      </c>
      <c r="BH91" s="239">
        <f t="shared" si="21"/>
        <v>0</v>
      </c>
      <c r="BI91" s="239">
        <f t="shared" si="21"/>
        <v>0</v>
      </c>
      <c r="BJ91" s="239">
        <f t="shared" si="21"/>
        <v>0</v>
      </c>
      <c r="BK91" s="239">
        <f>BK85+BK80+BK55+BK48+BK89+BK87</f>
        <v>0</v>
      </c>
      <c r="BL91" s="239">
        <f>BL85+BL80+BL55+BL48+BL89+BL87</f>
        <v>0</v>
      </c>
      <c r="BM91" s="239">
        <f t="shared" si="21"/>
        <v>0</v>
      </c>
      <c r="BN91" s="239">
        <f t="shared" si="21"/>
        <v>42393999.620000005</v>
      </c>
      <c r="BO91" s="239">
        <f t="shared" si="21"/>
        <v>1171784</v>
      </c>
      <c r="BP91" s="239">
        <f t="shared" si="21"/>
        <v>9432666</v>
      </c>
      <c r="BQ91" s="239">
        <f t="shared" si="21"/>
        <v>2643295</v>
      </c>
      <c r="BR91" s="239">
        <f t="shared" si="21"/>
        <v>2634960.4499999993</v>
      </c>
      <c r="BS91" s="239">
        <f t="shared" si="21"/>
        <v>5668777</v>
      </c>
      <c r="BT91" s="239">
        <f t="shared" si="21"/>
        <v>43494000</v>
      </c>
      <c r="BU91" s="239">
        <f t="shared" si="21"/>
        <v>12305633</v>
      </c>
      <c r="BV91" s="239">
        <f t="shared" si="21"/>
        <v>-5550800</v>
      </c>
      <c r="BW91" s="239">
        <f>BW85+BW80+BW55+BW48+BW89</f>
        <v>1567396</v>
      </c>
    </row>
    <row r="92" spans="1:75">
      <c r="A92" s="100"/>
      <c r="B92" s="17"/>
      <c r="C92"/>
      <c r="D92"/>
      <c r="E92"/>
      <c r="F92"/>
      <c r="G92"/>
      <c r="H92"/>
      <c r="I92"/>
      <c r="J92" s="49"/>
      <c r="K92"/>
      <c r="L92" s="132"/>
      <c r="M92" s="6"/>
      <c r="O92" s="6"/>
      <c r="Q92" s="6"/>
      <c r="S92" s="6"/>
      <c r="T92" s="6"/>
      <c r="U92" s="6"/>
      <c r="V92" s="6"/>
      <c r="X92" s="6"/>
      <c r="Z92" s="6"/>
      <c r="AB92" s="6"/>
      <c r="AD92" s="6"/>
      <c r="BJ92" s="6"/>
      <c r="BL92" s="6"/>
      <c r="BM92" s="6"/>
      <c r="BO92" s="6"/>
      <c r="BP92" s="6"/>
      <c r="BQ92" s="6"/>
      <c r="BW92" s="6"/>
    </row>
    <row r="93" spans="1:75">
      <c r="A93" s="100"/>
      <c r="B93" s="17"/>
      <c r="C93"/>
      <c r="D93"/>
      <c r="E93"/>
      <c r="F93"/>
      <c r="G93"/>
      <c r="H93"/>
      <c r="I93"/>
      <c r="J93" s="49"/>
      <c r="K93"/>
      <c r="L93" s="132"/>
      <c r="M93" s="6"/>
      <c r="O93" s="6"/>
      <c r="Q93" s="6"/>
      <c r="S93" s="6"/>
      <c r="T93" s="6"/>
      <c r="U93" s="6"/>
      <c r="V93" s="6"/>
      <c r="X93" s="6"/>
      <c r="Z93" s="6"/>
      <c r="AB93" s="6"/>
      <c r="AD93" s="6"/>
      <c r="BJ93" s="6"/>
      <c r="BL93" s="6"/>
      <c r="BM93" s="6"/>
      <c r="BO93" s="6"/>
      <c r="BP93" s="6"/>
      <c r="BQ93" s="6"/>
      <c r="BW93" s="6"/>
    </row>
    <row r="94" spans="1:75">
      <c r="A94" s="58" t="s">
        <v>227</v>
      </c>
      <c r="B94" s="11"/>
      <c r="C94"/>
      <c r="D94"/>
      <c r="E94"/>
      <c r="F94"/>
      <c r="G94"/>
      <c r="H94"/>
      <c r="I94"/>
      <c r="J94" s="49"/>
      <c r="K94"/>
      <c r="L94" s="132"/>
      <c r="M94" s="6"/>
      <c r="O94" s="6"/>
      <c r="Q94" s="6"/>
      <c r="S94" s="6"/>
      <c r="T94" s="6"/>
      <c r="U94" s="6"/>
      <c r="V94" s="6"/>
      <c r="X94" s="6"/>
      <c r="Z94" s="6"/>
      <c r="AB94" s="6"/>
      <c r="AD94" s="6"/>
      <c r="BJ94" s="6"/>
      <c r="BL94" s="6"/>
      <c r="BM94" s="6"/>
      <c r="BO94" s="6"/>
      <c r="BP94" s="6"/>
      <c r="BQ94" s="6"/>
      <c r="BW94" s="6"/>
    </row>
    <row r="95" spans="1:75">
      <c r="A95" s="17"/>
      <c r="B95" s="17" t="s">
        <v>228</v>
      </c>
      <c r="C95"/>
      <c r="D95"/>
      <c r="E95"/>
      <c r="F95"/>
      <c r="G95"/>
      <c r="H95"/>
      <c r="I95"/>
      <c r="J95" s="49" t="s">
        <v>236</v>
      </c>
      <c r="K95"/>
      <c r="L95" s="132" t="s">
        <v>202</v>
      </c>
      <c r="M95" s="6"/>
      <c r="N95" s="6">
        <v>0</v>
      </c>
      <c r="O95" s="6"/>
      <c r="P95" s="6">
        <v>0</v>
      </c>
      <c r="Q95" s="6"/>
      <c r="R95" s="6">
        <v>929800</v>
      </c>
      <c r="S95" s="6"/>
      <c r="T95" s="6">
        <v>0</v>
      </c>
      <c r="U95" s="22"/>
      <c r="V95" s="6">
        <v>0</v>
      </c>
      <c r="W95" s="22"/>
      <c r="X95" s="6">
        <v>0</v>
      </c>
      <c r="Y95" s="22"/>
      <c r="Z95" s="6">
        <v>0</v>
      </c>
      <c r="AA95" s="22"/>
      <c r="AB95" s="6">
        <v>0</v>
      </c>
      <c r="AC95" s="22"/>
      <c r="AD95" s="6">
        <v>0</v>
      </c>
      <c r="AE95" s="22"/>
      <c r="AF95" s="6">
        <v>0</v>
      </c>
      <c r="AG95" s="22"/>
      <c r="AH95" s="6">
        <f>929800/12</f>
        <v>77483.333333333328</v>
      </c>
      <c r="AI95" s="22"/>
      <c r="AJ95" s="6">
        <v>77483.33</v>
      </c>
      <c r="AK95" s="22"/>
      <c r="AL95" s="6">
        <v>77483.33</v>
      </c>
      <c r="AM95" s="22"/>
      <c r="AN95" s="6">
        <v>77483.33</v>
      </c>
      <c r="AO95" s="22"/>
      <c r="AP95" s="6">
        <v>77483.34</v>
      </c>
      <c r="AQ95" s="22"/>
      <c r="AR95" s="6">
        <v>77483.33</v>
      </c>
      <c r="AS95" s="22"/>
      <c r="AT95" s="6">
        <v>77483.33</v>
      </c>
      <c r="AV95" s="6">
        <v>77483.33</v>
      </c>
      <c r="AX95" s="6">
        <v>77483.34</v>
      </c>
      <c r="AZ95" s="6">
        <v>77483</v>
      </c>
      <c r="BB95" s="6">
        <v>77483.34</v>
      </c>
      <c r="BD95" s="6">
        <v>77483.33</v>
      </c>
      <c r="BF95" s="6">
        <v>0</v>
      </c>
      <c r="BH95" s="6">
        <v>0</v>
      </c>
      <c r="BJ95" s="6">
        <v>6741</v>
      </c>
      <c r="BL95" s="6">
        <v>0</v>
      </c>
      <c r="BM95" s="6"/>
      <c r="BN95" s="6">
        <f t="shared" ref="BN95:BN100" si="22">SUM(T95:BM95)</f>
        <v>936540.66333333321</v>
      </c>
      <c r="BO95" s="6"/>
      <c r="BP95" s="6">
        <v>0</v>
      </c>
      <c r="BQ95" s="6"/>
      <c r="BR95" s="6">
        <f t="shared" ref="BR95:BR101" si="23">IF(+R95-BN95+BP95&gt;0,R95-BN95+BP95,0)</f>
        <v>0</v>
      </c>
      <c r="BT95" s="6">
        <f t="shared" ref="BT95:BT100" si="24">+BN95+BR95</f>
        <v>936540.66333333321</v>
      </c>
      <c r="BV95" s="6">
        <f t="shared" ref="BV95:BV101" si="25">+R95-BT95</f>
        <v>-6740.6633333332138</v>
      </c>
      <c r="BW95" s="6"/>
    </row>
    <row r="96" spans="1:75">
      <c r="A96" s="17"/>
      <c r="B96" s="17" t="s">
        <v>230</v>
      </c>
      <c r="C96"/>
      <c r="D96"/>
      <c r="E96"/>
      <c r="F96"/>
      <c r="G96"/>
      <c r="H96"/>
      <c r="I96"/>
      <c r="J96" s="49" t="s">
        <v>230</v>
      </c>
      <c r="K96"/>
      <c r="L96" s="132" t="s">
        <v>202</v>
      </c>
      <c r="M96" s="6"/>
      <c r="N96" s="6">
        <v>0</v>
      </c>
      <c r="O96" s="6"/>
      <c r="P96" s="6">
        <v>0</v>
      </c>
      <c r="Q96" s="6"/>
      <c r="R96" s="6">
        <v>2386700</v>
      </c>
      <c r="S96" s="6"/>
      <c r="T96" s="6">
        <v>0</v>
      </c>
      <c r="U96" s="22"/>
      <c r="V96" s="6">
        <v>0</v>
      </c>
      <c r="W96" s="22"/>
      <c r="X96" s="6">
        <v>0</v>
      </c>
      <c r="Y96" s="22"/>
      <c r="Z96" s="6">
        <v>0</v>
      </c>
      <c r="AA96" s="22"/>
      <c r="AB96" s="6">
        <v>0</v>
      </c>
      <c r="AC96" s="22"/>
      <c r="AD96" s="6">
        <v>0</v>
      </c>
      <c r="AE96" s="22"/>
      <c r="AF96" s="6">
        <v>0</v>
      </c>
      <c r="AG96" s="22"/>
      <c r="AH96" s="6">
        <f>2386700/12</f>
        <v>198891.66666666666</v>
      </c>
      <c r="AI96" s="22"/>
      <c r="AJ96" s="6">
        <v>198891.67</v>
      </c>
      <c r="AK96" s="22"/>
      <c r="AL96" s="6">
        <v>198888.67</v>
      </c>
      <c r="AM96" s="22"/>
      <c r="AN96" s="6">
        <v>198888.67</v>
      </c>
      <c r="AO96" s="22"/>
      <c r="AP96" s="6">
        <v>198888.67</v>
      </c>
      <c r="AQ96" s="22"/>
      <c r="AR96" s="6">
        <v>198899</v>
      </c>
      <c r="AS96" s="22"/>
      <c r="AT96" s="6">
        <v>198889</v>
      </c>
      <c r="AV96" s="6">
        <v>198889</v>
      </c>
      <c r="AX96" s="6">
        <v>198889</v>
      </c>
      <c r="AZ96" s="6">
        <v>198889</v>
      </c>
      <c r="BB96" s="6">
        <v>198889</v>
      </c>
      <c r="BD96" s="6">
        <v>198889</v>
      </c>
      <c r="BF96" s="6">
        <v>0</v>
      </c>
      <c r="BH96" s="6">
        <v>0</v>
      </c>
      <c r="BJ96" s="6">
        <v>0</v>
      </c>
      <c r="BL96" s="6">
        <v>0</v>
      </c>
      <c r="BM96" s="6"/>
      <c r="BN96" s="6">
        <f t="shared" si="22"/>
        <v>2386682.3466666667</v>
      </c>
      <c r="BO96" s="6"/>
      <c r="BP96" s="6">
        <v>0</v>
      </c>
      <c r="BQ96" s="6"/>
      <c r="BR96" s="6">
        <f t="shared" si="23"/>
        <v>17.653333333320916</v>
      </c>
      <c r="BT96" s="6">
        <f t="shared" si="24"/>
        <v>2386700</v>
      </c>
      <c r="BV96" s="6">
        <f t="shared" si="25"/>
        <v>0</v>
      </c>
      <c r="BW96" s="6"/>
    </row>
    <row r="97" spans="1:75">
      <c r="A97" s="17"/>
      <c r="B97" s="17" t="s">
        <v>231</v>
      </c>
      <c r="C97"/>
      <c r="D97"/>
      <c r="E97"/>
      <c r="F97"/>
      <c r="G97"/>
      <c r="H97"/>
      <c r="I97"/>
      <c r="J97" s="49" t="s">
        <v>236</v>
      </c>
      <c r="K97"/>
      <c r="L97" s="132" t="s">
        <v>202</v>
      </c>
      <c r="M97" s="6"/>
      <c r="N97" s="6">
        <v>0</v>
      </c>
      <c r="O97" s="6"/>
      <c r="P97" s="6">
        <v>0</v>
      </c>
      <c r="Q97" s="6"/>
      <c r="R97" s="6">
        <v>0</v>
      </c>
      <c r="S97" s="6"/>
      <c r="T97" s="6">
        <v>0</v>
      </c>
      <c r="U97" s="22"/>
      <c r="V97" s="6">
        <v>0</v>
      </c>
      <c r="W97" s="22"/>
      <c r="X97" s="6">
        <v>0</v>
      </c>
      <c r="Y97" s="22"/>
      <c r="Z97" s="6">
        <v>0</v>
      </c>
      <c r="AA97" s="22"/>
      <c r="AB97" s="6">
        <v>0</v>
      </c>
      <c r="AC97" s="22"/>
      <c r="AD97" s="6">
        <v>0</v>
      </c>
      <c r="AE97" s="22"/>
      <c r="AF97" s="6">
        <v>0</v>
      </c>
      <c r="AG97" s="22"/>
      <c r="AH97" s="6">
        <v>0</v>
      </c>
      <c r="AI97" s="22"/>
      <c r="AJ97" s="6">
        <v>0</v>
      </c>
      <c r="AK97" s="22"/>
      <c r="AL97" s="6">
        <v>0</v>
      </c>
      <c r="AM97" s="22"/>
      <c r="AN97" s="6">
        <v>0</v>
      </c>
      <c r="AO97" s="22"/>
      <c r="AP97" s="6">
        <v>0</v>
      </c>
      <c r="AQ97" s="22"/>
      <c r="AR97" s="6">
        <v>0</v>
      </c>
      <c r="AS97" s="22"/>
      <c r="AT97" s="6">
        <v>0</v>
      </c>
      <c r="AV97" s="6">
        <v>0</v>
      </c>
      <c r="AX97" s="6">
        <v>0</v>
      </c>
      <c r="AZ97" s="6">
        <v>0</v>
      </c>
      <c r="BB97" s="6">
        <v>0</v>
      </c>
      <c r="BD97" s="6">
        <v>0</v>
      </c>
      <c r="BF97" s="6">
        <v>0</v>
      </c>
      <c r="BH97" s="6">
        <v>0</v>
      </c>
      <c r="BJ97" s="6">
        <v>0</v>
      </c>
      <c r="BL97" s="6">
        <v>0</v>
      </c>
      <c r="BM97" s="6"/>
      <c r="BN97" s="6">
        <f t="shared" si="22"/>
        <v>0</v>
      </c>
      <c r="BO97" s="6"/>
      <c r="BP97" s="6">
        <v>0</v>
      </c>
      <c r="BQ97" s="6"/>
      <c r="BR97" s="6">
        <f t="shared" si="23"/>
        <v>0</v>
      </c>
      <c r="BT97" s="6">
        <f t="shared" si="24"/>
        <v>0</v>
      </c>
      <c r="BV97" s="6">
        <f t="shared" si="25"/>
        <v>0</v>
      </c>
      <c r="BW97" s="6"/>
    </row>
    <row r="98" spans="1:75">
      <c r="A98" s="17"/>
      <c r="B98" s="17" t="s">
        <v>232</v>
      </c>
      <c r="C98"/>
      <c r="D98"/>
      <c r="E98"/>
      <c r="F98"/>
      <c r="G98"/>
      <c r="H98"/>
      <c r="I98"/>
      <c r="J98" s="49" t="s">
        <v>236</v>
      </c>
      <c r="K98"/>
      <c r="L98" s="132" t="s">
        <v>202</v>
      </c>
      <c r="M98" s="6"/>
      <c r="N98" s="12">
        <v>0</v>
      </c>
      <c r="O98" s="12"/>
      <c r="P98" s="12">
        <v>0</v>
      </c>
      <c r="Q98" s="12"/>
      <c r="R98" s="6">
        <f>+N98+P98</f>
        <v>0</v>
      </c>
      <c r="S98" s="12"/>
      <c r="T98" s="12">
        <v>0</v>
      </c>
      <c r="U98" s="80"/>
      <c r="V98" s="12">
        <v>0</v>
      </c>
      <c r="W98" s="80"/>
      <c r="X98" s="12">
        <v>0</v>
      </c>
      <c r="Y98" s="80"/>
      <c r="Z98" s="12">
        <v>0</v>
      </c>
      <c r="AA98" s="80"/>
      <c r="AB98" s="12">
        <v>0</v>
      </c>
      <c r="AC98" s="80"/>
      <c r="AD98" s="12">
        <v>0</v>
      </c>
      <c r="AE98" s="80"/>
      <c r="AF98" s="12">
        <v>0</v>
      </c>
      <c r="AG98" s="80"/>
      <c r="AH98" s="12">
        <v>0</v>
      </c>
      <c r="AI98" s="80"/>
      <c r="AJ98" s="12">
        <v>0</v>
      </c>
      <c r="AK98" s="80"/>
      <c r="AL98" s="12">
        <v>0</v>
      </c>
      <c r="AM98" s="80"/>
      <c r="AN98" s="12">
        <v>0</v>
      </c>
      <c r="AO98" s="80"/>
      <c r="AP98" s="12">
        <v>0</v>
      </c>
      <c r="AQ98" s="80"/>
      <c r="AR98" s="12">
        <v>0</v>
      </c>
      <c r="AS98" s="80"/>
      <c r="AT98" s="12">
        <v>0</v>
      </c>
      <c r="AU98" s="12"/>
      <c r="AV98" s="12">
        <v>0</v>
      </c>
      <c r="AW98" s="12"/>
      <c r="AX98" s="12">
        <v>0</v>
      </c>
      <c r="AY98" s="12"/>
      <c r="AZ98" s="12">
        <v>0</v>
      </c>
      <c r="BA98" s="12"/>
      <c r="BB98" s="12">
        <v>0</v>
      </c>
      <c r="BC98" s="12"/>
      <c r="BD98" s="12">
        <v>0</v>
      </c>
      <c r="BE98" s="12"/>
      <c r="BF98" s="12">
        <v>0</v>
      </c>
      <c r="BG98" s="12"/>
      <c r="BH98" s="12">
        <v>0</v>
      </c>
      <c r="BI98" s="12"/>
      <c r="BJ98" s="12">
        <v>0</v>
      </c>
      <c r="BK98" s="12"/>
      <c r="BL98" s="12">
        <v>0</v>
      </c>
      <c r="BM98" s="12"/>
      <c r="BN98" s="12">
        <f t="shared" si="22"/>
        <v>0</v>
      </c>
      <c r="BO98" s="6"/>
      <c r="BP98" s="12">
        <v>0</v>
      </c>
      <c r="BQ98" s="6"/>
      <c r="BR98" s="6">
        <f t="shared" si="23"/>
        <v>0</v>
      </c>
      <c r="BS98" s="12"/>
      <c r="BT98" s="6">
        <f t="shared" si="24"/>
        <v>0</v>
      </c>
      <c r="BU98" s="12"/>
      <c r="BV98" s="6">
        <f t="shared" si="25"/>
        <v>0</v>
      </c>
      <c r="BW98" s="12"/>
    </row>
    <row r="99" spans="1:75" s="11" customFormat="1">
      <c r="A99" s="17"/>
      <c r="B99" s="17" t="s">
        <v>233</v>
      </c>
      <c r="C99" s="30"/>
      <c r="D99" s="30"/>
      <c r="E99" s="30"/>
      <c r="F99" s="30"/>
      <c r="G99" s="30"/>
      <c r="H99" s="30"/>
      <c r="I99" s="30"/>
      <c r="J99" s="153" t="s">
        <v>236</v>
      </c>
      <c r="K99" s="30"/>
      <c r="L99" s="132" t="s">
        <v>202</v>
      </c>
      <c r="M99" s="12"/>
      <c r="N99" s="12">
        <v>0</v>
      </c>
      <c r="O99" s="12"/>
      <c r="P99" s="12">
        <v>0</v>
      </c>
      <c r="Q99" s="12"/>
      <c r="R99" s="6">
        <f>+N99+P99</f>
        <v>0</v>
      </c>
      <c r="S99" s="12"/>
      <c r="T99" s="12">
        <v>0</v>
      </c>
      <c r="U99" s="80"/>
      <c r="V99" s="12">
        <v>0</v>
      </c>
      <c r="W99" s="80"/>
      <c r="X99" s="12">
        <v>0</v>
      </c>
      <c r="Y99" s="80"/>
      <c r="Z99" s="12">
        <v>0</v>
      </c>
      <c r="AA99" s="80"/>
      <c r="AB99" s="12">
        <v>0</v>
      </c>
      <c r="AC99" s="80"/>
      <c r="AD99" s="12">
        <v>0</v>
      </c>
      <c r="AE99" s="80"/>
      <c r="AF99" s="12">
        <v>0</v>
      </c>
      <c r="AG99" s="80"/>
      <c r="AH99" s="12">
        <v>0</v>
      </c>
      <c r="AI99" s="80"/>
      <c r="AJ99" s="12">
        <v>0</v>
      </c>
      <c r="AK99" s="80"/>
      <c r="AL99" s="12">
        <v>0</v>
      </c>
      <c r="AM99" s="80"/>
      <c r="AN99" s="12">
        <v>0</v>
      </c>
      <c r="AO99" s="80"/>
      <c r="AP99" s="12">
        <v>0</v>
      </c>
      <c r="AQ99" s="80"/>
      <c r="AR99" s="12">
        <v>0</v>
      </c>
      <c r="AS99" s="80"/>
      <c r="AT99" s="12">
        <v>0</v>
      </c>
      <c r="AU99" s="12"/>
      <c r="AV99" s="12">
        <v>0</v>
      </c>
      <c r="AW99" s="12"/>
      <c r="AX99" s="12">
        <v>0</v>
      </c>
      <c r="AY99" s="12"/>
      <c r="AZ99" s="12">
        <v>0</v>
      </c>
      <c r="BA99" s="12"/>
      <c r="BB99" s="12">
        <v>0</v>
      </c>
      <c r="BC99" s="12"/>
      <c r="BD99" s="12">
        <v>0</v>
      </c>
      <c r="BE99" s="12"/>
      <c r="BF99" s="12">
        <v>0</v>
      </c>
      <c r="BG99" s="12"/>
      <c r="BH99" s="12">
        <v>0</v>
      </c>
      <c r="BI99" s="12"/>
      <c r="BJ99" s="12">
        <v>0</v>
      </c>
      <c r="BK99" s="12"/>
      <c r="BL99" s="12">
        <v>0</v>
      </c>
      <c r="BM99" s="12"/>
      <c r="BN99" s="12">
        <f t="shared" si="22"/>
        <v>0</v>
      </c>
      <c r="BO99" s="12"/>
      <c r="BP99" s="12">
        <v>0</v>
      </c>
      <c r="BQ99" s="12"/>
      <c r="BR99" s="6">
        <f t="shared" si="23"/>
        <v>0</v>
      </c>
      <c r="BS99" s="12"/>
      <c r="BT99" s="6">
        <f t="shared" si="24"/>
        <v>0</v>
      </c>
      <c r="BU99" s="12"/>
      <c r="BV99" s="6">
        <f t="shared" si="25"/>
        <v>0</v>
      </c>
      <c r="BW99" s="12"/>
    </row>
    <row r="100" spans="1:75">
      <c r="A100" s="17"/>
      <c r="B100" s="17" t="s">
        <v>121</v>
      </c>
      <c r="C100"/>
      <c r="D100"/>
      <c r="E100"/>
      <c r="F100"/>
      <c r="G100"/>
      <c r="H100"/>
      <c r="I100"/>
      <c r="J100" s="49"/>
      <c r="K100"/>
      <c r="L100" s="132" t="s">
        <v>202</v>
      </c>
      <c r="M100" s="6"/>
      <c r="N100" s="12">
        <v>0</v>
      </c>
      <c r="O100" s="12"/>
      <c r="P100" s="12">
        <v>0</v>
      </c>
      <c r="Q100" s="12"/>
      <c r="R100" s="6">
        <f>+N100+P100</f>
        <v>0</v>
      </c>
      <c r="S100" s="12"/>
      <c r="T100" s="12">
        <v>0</v>
      </c>
      <c r="U100" s="80"/>
      <c r="V100" s="12">
        <v>0</v>
      </c>
      <c r="W100" s="80"/>
      <c r="X100" s="12">
        <v>0</v>
      </c>
      <c r="Y100" s="80"/>
      <c r="Z100" s="12">
        <v>0</v>
      </c>
      <c r="AA100" s="80"/>
      <c r="AB100" s="12">
        <v>0</v>
      </c>
      <c r="AC100" s="80"/>
      <c r="AD100" s="12">
        <v>0</v>
      </c>
      <c r="AE100" s="80"/>
      <c r="AF100" s="12">
        <v>0</v>
      </c>
      <c r="AG100" s="80"/>
      <c r="AH100" s="12">
        <v>0</v>
      </c>
      <c r="AI100" s="80"/>
      <c r="AJ100" s="12">
        <v>0</v>
      </c>
      <c r="AK100" s="80"/>
      <c r="AL100" s="12">
        <v>0</v>
      </c>
      <c r="AM100" s="80"/>
      <c r="AN100" s="12">
        <v>0</v>
      </c>
      <c r="AO100" s="80"/>
      <c r="AP100" s="12">
        <v>0</v>
      </c>
      <c r="AQ100" s="80"/>
      <c r="AR100" s="12">
        <v>0</v>
      </c>
      <c r="AS100" s="80"/>
      <c r="AT100" s="12">
        <v>0</v>
      </c>
      <c r="AU100" s="12"/>
      <c r="AV100" s="12">
        <v>0</v>
      </c>
      <c r="AW100" s="12"/>
      <c r="AX100" s="12">
        <v>0</v>
      </c>
      <c r="AY100" s="12"/>
      <c r="AZ100" s="12">
        <v>0</v>
      </c>
      <c r="BA100" s="12"/>
      <c r="BB100" s="12">
        <v>0</v>
      </c>
      <c r="BC100" s="12"/>
      <c r="BD100" s="12">
        <v>0</v>
      </c>
      <c r="BE100" s="12"/>
      <c r="BF100" s="12">
        <v>0</v>
      </c>
      <c r="BG100" s="12"/>
      <c r="BH100" s="12">
        <v>0</v>
      </c>
      <c r="BI100" s="12"/>
      <c r="BJ100" s="12">
        <v>0</v>
      </c>
      <c r="BK100" s="12"/>
      <c r="BL100" s="12">
        <v>0</v>
      </c>
      <c r="BM100" s="12"/>
      <c r="BN100" s="12">
        <f t="shared" si="22"/>
        <v>0</v>
      </c>
      <c r="BO100" s="6"/>
      <c r="BP100" s="12">
        <v>0</v>
      </c>
      <c r="BQ100" s="6"/>
      <c r="BR100" s="6">
        <f t="shared" si="23"/>
        <v>0</v>
      </c>
      <c r="BS100" s="12"/>
      <c r="BT100" s="6">
        <f t="shared" si="24"/>
        <v>0</v>
      </c>
      <c r="BU100" s="12"/>
      <c r="BV100" s="6">
        <f t="shared" si="25"/>
        <v>0</v>
      </c>
      <c r="BW100" s="12"/>
    </row>
    <row r="101" spans="1:75">
      <c r="A101" s="17"/>
      <c r="B101" s="17"/>
      <c r="C101"/>
      <c r="D101"/>
      <c r="E101"/>
      <c r="F101"/>
      <c r="G101"/>
      <c r="H101"/>
      <c r="I101"/>
      <c r="J101" s="49"/>
      <c r="K101"/>
      <c r="L101" s="132"/>
      <c r="M101" s="6"/>
      <c r="N101" s="12"/>
      <c r="O101" s="12"/>
      <c r="P101" s="12"/>
      <c r="Q101" s="12"/>
      <c r="R101" s="12"/>
      <c r="S101" s="12"/>
      <c r="T101" s="12"/>
      <c r="U101" s="80"/>
      <c r="V101" s="12"/>
      <c r="W101" s="80"/>
      <c r="X101" s="12"/>
      <c r="Y101" s="80"/>
      <c r="Z101" s="12"/>
      <c r="AA101" s="80"/>
      <c r="AB101" s="12"/>
      <c r="AC101" s="80"/>
      <c r="AD101" s="12"/>
      <c r="AE101" s="80"/>
      <c r="AF101" s="12"/>
      <c r="AG101" s="80"/>
      <c r="AH101" s="12"/>
      <c r="AI101" s="80"/>
      <c r="AJ101" s="12"/>
      <c r="AK101" s="80"/>
      <c r="AL101" s="12"/>
      <c r="AM101" s="80"/>
      <c r="AN101" s="12"/>
      <c r="AO101" s="80"/>
      <c r="AP101" s="12"/>
      <c r="AQ101" s="80"/>
      <c r="AR101" s="12"/>
      <c r="AS101" s="80"/>
      <c r="AT101" s="12"/>
      <c r="AU101" s="12"/>
      <c r="AV101" s="12"/>
      <c r="AW101" s="12"/>
      <c r="AX101" s="12"/>
      <c r="AY101" s="12"/>
      <c r="AZ101" s="12"/>
      <c r="BA101" s="12"/>
      <c r="BB101" s="12"/>
      <c r="BC101" s="12"/>
      <c r="BD101" s="12"/>
      <c r="BE101" s="12"/>
      <c r="BF101" s="12"/>
      <c r="BG101" s="12"/>
      <c r="BH101" s="12"/>
      <c r="BI101" s="12"/>
      <c r="BJ101" s="12"/>
      <c r="BK101" s="12"/>
      <c r="BL101" s="12"/>
      <c r="BM101" s="12"/>
      <c r="BN101" s="12"/>
      <c r="BO101" s="6"/>
      <c r="BP101" s="12"/>
      <c r="BQ101" s="6"/>
      <c r="BR101" s="6">
        <f t="shared" si="23"/>
        <v>0</v>
      </c>
      <c r="BS101" s="12"/>
      <c r="BT101" s="12"/>
      <c r="BU101" s="12"/>
      <c r="BV101" s="6">
        <f t="shared" si="25"/>
        <v>0</v>
      </c>
      <c r="BW101" s="12"/>
    </row>
    <row r="102" spans="1:75" s="114" customFormat="1">
      <c r="A102" s="282"/>
      <c r="B102" s="113" t="s">
        <v>244</v>
      </c>
      <c r="J102" s="154"/>
      <c r="L102" s="140"/>
      <c r="M102" s="115"/>
      <c r="N102" s="116">
        <f>SUM(N95:N101)</f>
        <v>0</v>
      </c>
      <c r="O102" s="115"/>
      <c r="P102" s="116">
        <f>SUM(P95:P101)</f>
        <v>0</v>
      </c>
      <c r="Q102" s="115"/>
      <c r="R102" s="116">
        <f>SUM(R95:R101)</f>
        <v>3316500</v>
      </c>
      <c r="S102" s="115"/>
      <c r="T102" s="116">
        <f>SUM(T95:T101)</f>
        <v>0</v>
      </c>
      <c r="U102" s="115"/>
      <c r="V102" s="116">
        <f>SUM(V95:V101)</f>
        <v>0</v>
      </c>
      <c r="W102" s="115"/>
      <c r="X102" s="116">
        <f>SUM(X95:X101)</f>
        <v>0</v>
      </c>
      <c r="Y102" s="115"/>
      <c r="Z102" s="116">
        <f>SUM(Z95:Z101)</f>
        <v>0</v>
      </c>
      <c r="AA102" s="115"/>
      <c r="AB102" s="116">
        <f>SUM(AB95:AB101)</f>
        <v>0</v>
      </c>
      <c r="AC102" s="115"/>
      <c r="AD102" s="116">
        <f>SUM(AD95:AD101)</f>
        <v>0</v>
      </c>
      <c r="AE102" s="115"/>
      <c r="AF102" s="116">
        <f>SUM(AF95:AF101)</f>
        <v>0</v>
      </c>
      <c r="AG102" s="115"/>
      <c r="AH102" s="116">
        <f>SUM(AH95:AH101)</f>
        <v>276375</v>
      </c>
      <c r="AI102" s="115"/>
      <c r="AJ102" s="116">
        <f>SUM(AJ95:AJ101)</f>
        <v>276375</v>
      </c>
      <c r="AK102" s="115"/>
      <c r="AL102" s="116">
        <f>SUM(AL95:AL101)</f>
        <v>276372</v>
      </c>
      <c r="AM102" s="115"/>
      <c r="AN102" s="116">
        <f>SUM(AN95:AN101)</f>
        <v>276372</v>
      </c>
      <c r="AO102" s="115"/>
      <c r="AP102" s="116">
        <f>SUM(AP95:AP101)</f>
        <v>276372.01</v>
      </c>
      <c r="AQ102" s="115"/>
      <c r="AR102" s="116">
        <f>SUM(AR95:AR101)</f>
        <v>276382.33</v>
      </c>
      <c r="AS102" s="115"/>
      <c r="AT102" s="116">
        <f>SUM(AT95:AT101)</f>
        <v>276372.33</v>
      </c>
      <c r="AU102" s="117"/>
      <c r="AV102" s="116">
        <f>SUM(AV95:AV101)</f>
        <v>276372.33</v>
      </c>
      <c r="AW102" s="117"/>
      <c r="AX102" s="116">
        <f>SUM(AX95:AX101)</f>
        <v>276372.33999999997</v>
      </c>
      <c r="AY102" s="117"/>
      <c r="AZ102" s="116">
        <f>SUM(AZ95:AZ101)</f>
        <v>276372</v>
      </c>
      <c r="BA102" s="117"/>
      <c r="BB102" s="116">
        <f>SUM(BB95:BB101)</f>
        <v>276372.33999999997</v>
      </c>
      <c r="BC102" s="117"/>
      <c r="BD102" s="116">
        <f>SUM(BD95:BD101)</f>
        <v>276372.33</v>
      </c>
      <c r="BE102" s="117"/>
      <c r="BF102" s="116">
        <f>SUM(BF95:BF101)</f>
        <v>0</v>
      </c>
      <c r="BG102" s="117"/>
      <c r="BH102" s="116">
        <f>SUM(BH95:BH101)</f>
        <v>0</v>
      </c>
      <c r="BI102" s="117"/>
      <c r="BJ102" s="116">
        <f>SUM(BJ95:BJ101)</f>
        <v>6741</v>
      </c>
      <c r="BK102" s="117"/>
      <c r="BL102" s="116">
        <f>SUM(BL95:BL101)</f>
        <v>0</v>
      </c>
      <c r="BM102" s="115"/>
      <c r="BN102" s="116">
        <f>SUM(BN95:BN101)</f>
        <v>3323223.01</v>
      </c>
      <c r="BO102" s="115"/>
      <c r="BP102" s="116">
        <f>SUM(BP95:BP101)</f>
        <v>0</v>
      </c>
      <c r="BQ102" s="115"/>
      <c r="BR102" s="116">
        <f>SUM(BR95:BR101)</f>
        <v>17.653333333320916</v>
      </c>
      <c r="BS102" s="115"/>
      <c r="BT102" s="116">
        <f>SUM(BT95:BT101)</f>
        <v>3323240.6633333331</v>
      </c>
      <c r="BU102" s="115"/>
      <c r="BV102" s="116">
        <f>SUM(BV95:BV101)</f>
        <v>-6740.6633333332138</v>
      </c>
      <c r="BW102" s="117"/>
    </row>
    <row r="103" spans="1:75" customFormat="1">
      <c r="A103" s="30"/>
    </row>
    <row r="104" spans="1:75" s="15" customFormat="1">
      <c r="A104" s="77" t="s">
        <v>242</v>
      </c>
      <c r="B104" s="17"/>
      <c r="C104"/>
      <c r="D104"/>
      <c r="E104"/>
      <c r="F104"/>
      <c r="G104"/>
      <c r="H104"/>
      <c r="I104"/>
      <c r="J104" s="49"/>
      <c r="K104"/>
      <c r="L104" s="132" t="s">
        <v>202</v>
      </c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  <c r="BJ104" s="22"/>
      <c r="BK104" s="22"/>
      <c r="BL104" s="22"/>
      <c r="BM104" s="22"/>
      <c r="BN104" s="22"/>
      <c r="BO104" s="22"/>
      <c r="BP104" s="22"/>
      <c r="BQ104" s="22"/>
      <c r="BR104" s="22"/>
      <c r="BS104" s="22"/>
      <c r="BT104" s="22"/>
      <c r="BU104" s="22"/>
      <c r="BV104" s="22"/>
      <c r="BW104" s="22"/>
    </row>
    <row r="105" spans="1:75" s="15" customFormat="1">
      <c r="A105" s="77"/>
      <c r="B105" s="17" t="s">
        <v>121</v>
      </c>
      <c r="C105"/>
      <c r="D105"/>
      <c r="E105"/>
      <c r="F105"/>
      <c r="G105"/>
      <c r="H105"/>
      <c r="I105"/>
      <c r="J105" s="49" t="s">
        <v>0</v>
      </c>
      <c r="K105"/>
      <c r="L105" s="132" t="s">
        <v>202</v>
      </c>
      <c r="M105" s="22"/>
      <c r="N105" s="22">
        <v>0</v>
      </c>
      <c r="O105" s="22"/>
      <c r="P105" s="22">
        <v>0</v>
      </c>
      <c r="Q105" s="22"/>
      <c r="R105" s="6">
        <v>0</v>
      </c>
      <c r="S105" s="22"/>
      <c r="T105" s="22">
        <v>0</v>
      </c>
      <c r="U105" s="22"/>
      <c r="V105" s="22">
        <v>0</v>
      </c>
      <c r="W105" s="22"/>
      <c r="X105" s="22">
        <v>0</v>
      </c>
      <c r="Y105" s="22"/>
      <c r="Z105" s="22">
        <v>0</v>
      </c>
      <c r="AA105" s="22"/>
      <c r="AB105" s="22">
        <v>0</v>
      </c>
      <c r="AC105" s="22"/>
      <c r="AD105" s="22">
        <v>0</v>
      </c>
      <c r="AE105" s="22"/>
      <c r="AF105" s="22">
        <v>0</v>
      </c>
      <c r="AG105" s="22"/>
      <c r="AH105" s="22">
        <v>0</v>
      </c>
      <c r="AI105" s="22"/>
      <c r="AJ105" s="22">
        <v>0</v>
      </c>
      <c r="AK105" s="22"/>
      <c r="AL105" s="22">
        <v>0</v>
      </c>
      <c r="AM105" s="22"/>
      <c r="AN105" s="22">
        <v>0</v>
      </c>
      <c r="AO105" s="22"/>
      <c r="AP105" s="22">
        <v>0</v>
      </c>
      <c r="AQ105" s="22"/>
      <c r="AR105" s="22">
        <v>0</v>
      </c>
      <c r="AS105" s="22"/>
      <c r="AT105" s="22">
        <v>0</v>
      </c>
      <c r="AU105" s="22"/>
      <c r="AV105" s="22">
        <v>0</v>
      </c>
      <c r="AW105" s="22"/>
      <c r="AX105" s="22">
        <v>0</v>
      </c>
      <c r="AY105" s="22"/>
      <c r="AZ105" s="22">
        <v>0</v>
      </c>
      <c r="BA105" s="22"/>
      <c r="BB105" s="22">
        <v>0</v>
      </c>
      <c r="BC105" s="22"/>
      <c r="BD105" s="22">
        <v>0</v>
      </c>
      <c r="BE105" s="22"/>
      <c r="BF105" s="22">
        <v>0</v>
      </c>
      <c r="BG105" s="22"/>
      <c r="BH105" s="22">
        <v>0</v>
      </c>
      <c r="BI105" s="22"/>
      <c r="BJ105" s="22">
        <v>0</v>
      </c>
      <c r="BK105" s="22"/>
      <c r="BL105" s="22">
        <v>0</v>
      </c>
      <c r="BM105" s="22"/>
      <c r="BN105" s="22">
        <f>SUM(T105:BM105)</f>
        <v>0</v>
      </c>
      <c r="BO105" s="22"/>
      <c r="BP105" s="22">
        <v>0</v>
      </c>
      <c r="BQ105" s="22"/>
      <c r="BR105" s="6">
        <f>IF(+R105-BN105+BP105&gt;0,R105-BN105+BP105,0)</f>
        <v>0</v>
      </c>
      <c r="BS105" s="22"/>
      <c r="BT105" s="6">
        <f>+BN105+BR105</f>
        <v>0</v>
      </c>
      <c r="BU105" s="22"/>
      <c r="BV105" s="6">
        <f>+R105-BT105</f>
        <v>0</v>
      </c>
      <c r="BW105" s="22"/>
    </row>
    <row r="106" spans="1:75" s="15" customFormat="1">
      <c r="A106" s="100"/>
      <c r="B106" s="17"/>
      <c r="C106"/>
      <c r="D106"/>
      <c r="E106"/>
      <c r="F106"/>
      <c r="G106"/>
      <c r="H106"/>
      <c r="I106"/>
      <c r="J106" s="49"/>
      <c r="K106"/>
      <c r="L106" s="132"/>
      <c r="M106" s="22"/>
      <c r="N106" s="80"/>
      <c r="O106" s="22"/>
      <c r="P106" s="80"/>
      <c r="Q106" s="22"/>
      <c r="R106" s="80"/>
      <c r="S106" s="22"/>
      <c r="T106" s="80"/>
      <c r="U106" s="80"/>
      <c r="V106" s="80"/>
      <c r="W106" s="80"/>
      <c r="X106" s="80"/>
      <c r="Y106" s="80"/>
      <c r="Z106" s="80"/>
      <c r="AA106" s="80"/>
      <c r="AB106" s="80"/>
      <c r="AC106" s="80"/>
      <c r="AD106" s="80"/>
      <c r="AE106" s="80"/>
      <c r="AF106" s="80"/>
      <c r="AG106" s="80"/>
      <c r="AH106" s="80"/>
      <c r="AI106" s="80"/>
      <c r="AJ106" s="80"/>
      <c r="AK106" s="80"/>
      <c r="AL106" s="80"/>
      <c r="AM106" s="80"/>
      <c r="AN106" s="80"/>
      <c r="AO106" s="80"/>
      <c r="AP106" s="80"/>
      <c r="AQ106" s="80"/>
      <c r="AR106" s="80"/>
      <c r="AS106" s="80"/>
      <c r="AT106" s="80"/>
      <c r="AU106" s="80"/>
      <c r="AV106" s="80"/>
      <c r="AW106" s="80"/>
      <c r="AX106" s="80"/>
      <c r="AY106" s="80"/>
      <c r="AZ106" s="80"/>
      <c r="BA106" s="80"/>
      <c r="BB106" s="80"/>
      <c r="BC106" s="80"/>
      <c r="BD106" s="80"/>
      <c r="BE106" s="80"/>
      <c r="BF106" s="80"/>
      <c r="BG106" s="80"/>
      <c r="BH106" s="80"/>
      <c r="BI106" s="80"/>
      <c r="BJ106" s="80"/>
      <c r="BK106" s="80"/>
      <c r="BL106" s="80"/>
      <c r="BM106" s="22"/>
      <c r="BN106" s="80"/>
      <c r="BO106" s="22"/>
      <c r="BP106" s="80"/>
      <c r="BQ106" s="22"/>
      <c r="BR106" s="80"/>
      <c r="BS106" s="22"/>
      <c r="BT106" s="80"/>
      <c r="BU106" s="22"/>
      <c r="BV106" s="6">
        <f>+R106-BT106</f>
        <v>0</v>
      </c>
      <c r="BW106" s="80"/>
    </row>
    <row r="107" spans="1:75" s="104" customFormat="1">
      <c r="A107" s="32"/>
      <c r="B107" s="77" t="s">
        <v>245</v>
      </c>
      <c r="C107" s="21"/>
      <c r="D107" s="21"/>
      <c r="E107" s="21"/>
      <c r="F107" s="21"/>
      <c r="G107" s="21"/>
      <c r="H107" s="21"/>
      <c r="I107" s="21"/>
      <c r="J107" s="8"/>
      <c r="K107" s="21"/>
      <c r="L107" s="141"/>
      <c r="M107" s="16"/>
      <c r="N107" s="108">
        <f>SUM(N105:N106)</f>
        <v>0</v>
      </c>
      <c r="O107" s="16"/>
      <c r="P107" s="108">
        <f>SUM(P105:P106)</f>
        <v>0</v>
      </c>
      <c r="Q107" s="16"/>
      <c r="R107" s="108">
        <f>SUM(R105:R106)</f>
        <v>0</v>
      </c>
      <c r="S107" s="16"/>
      <c r="T107" s="108">
        <f>SUM(T105:T106)</f>
        <v>0</v>
      </c>
      <c r="U107" s="16"/>
      <c r="V107" s="108">
        <f>SUM(V105:V106)</f>
        <v>0</v>
      </c>
      <c r="W107" s="16"/>
      <c r="X107" s="108">
        <f>SUM(X105:X106)</f>
        <v>0</v>
      </c>
      <c r="Y107" s="16"/>
      <c r="Z107" s="108">
        <f>SUM(Z105:Z106)</f>
        <v>0</v>
      </c>
      <c r="AA107" s="16"/>
      <c r="AB107" s="108">
        <f>SUM(AB105:AB106)</f>
        <v>0</v>
      </c>
      <c r="AC107" s="16"/>
      <c r="AD107" s="108">
        <f>SUM(AD105:AD106)</f>
        <v>0</v>
      </c>
      <c r="AE107" s="16"/>
      <c r="AF107" s="108">
        <f>SUM(AF105:AF106)</f>
        <v>0</v>
      </c>
      <c r="AG107" s="16"/>
      <c r="AH107" s="108">
        <f>SUM(AH105:AH106)</f>
        <v>0</v>
      </c>
      <c r="AI107" s="16"/>
      <c r="AJ107" s="108">
        <f>SUM(AJ105:AJ106)</f>
        <v>0</v>
      </c>
      <c r="AK107" s="16"/>
      <c r="AL107" s="108">
        <f>SUM(AL105:AL106)</f>
        <v>0</v>
      </c>
      <c r="AM107" s="16"/>
      <c r="AN107" s="108">
        <f>SUM(AN105:AN106)</f>
        <v>0</v>
      </c>
      <c r="AO107" s="16"/>
      <c r="AP107" s="108">
        <f>SUM(AP105:AP106)</f>
        <v>0</v>
      </c>
      <c r="AQ107" s="16"/>
      <c r="AR107" s="108">
        <f>SUM(AR105:AR106)</f>
        <v>0</v>
      </c>
      <c r="AS107" s="16"/>
      <c r="AT107" s="108">
        <f>SUM(AT105:AT106)</f>
        <v>0</v>
      </c>
      <c r="AU107" s="103"/>
      <c r="AV107" s="108">
        <f>SUM(AV105:AV106)</f>
        <v>0</v>
      </c>
      <c r="AW107" s="103"/>
      <c r="AX107" s="108">
        <f>SUM(AX105:AX106)</f>
        <v>0</v>
      </c>
      <c r="AY107" s="103"/>
      <c r="AZ107" s="108">
        <f>SUM(AZ105:AZ106)</f>
        <v>0</v>
      </c>
      <c r="BA107" s="103"/>
      <c r="BB107" s="108">
        <f>SUM(BB105:BB106)</f>
        <v>0</v>
      </c>
      <c r="BC107" s="103"/>
      <c r="BD107" s="108">
        <f>SUM(BD105:BD106)</f>
        <v>0</v>
      </c>
      <c r="BE107" s="103"/>
      <c r="BF107" s="108">
        <f>SUM(BF105:BF106)</f>
        <v>0</v>
      </c>
      <c r="BG107" s="103"/>
      <c r="BH107" s="108">
        <f>SUM(BH105:BH106)</f>
        <v>0</v>
      </c>
      <c r="BI107" s="103"/>
      <c r="BJ107" s="108">
        <f>SUM(BJ105:BJ106)</f>
        <v>0</v>
      </c>
      <c r="BK107" s="103"/>
      <c r="BL107" s="108">
        <f>SUM(BL105:BL106)</f>
        <v>0</v>
      </c>
      <c r="BM107" s="16"/>
      <c r="BN107" s="108">
        <f>SUM(BN105:BN106)</f>
        <v>0</v>
      </c>
      <c r="BO107" s="16"/>
      <c r="BP107" s="108">
        <f>SUM(BP105:BP106)</f>
        <v>0</v>
      </c>
      <c r="BQ107" s="16"/>
      <c r="BR107" s="108">
        <f>SUM(BR105:BR106)</f>
        <v>0</v>
      </c>
      <c r="BS107" s="16"/>
      <c r="BT107" s="108">
        <f>SUM(BT105:BT106)</f>
        <v>0</v>
      </c>
      <c r="BU107" s="16"/>
      <c r="BV107" s="108">
        <f>SUM(BV105:BV106)</f>
        <v>0</v>
      </c>
      <c r="BW107" s="16"/>
    </row>
    <row r="108" spans="1:75" s="15" customFormat="1">
      <c r="A108" s="100"/>
      <c r="B108" s="17"/>
      <c r="C108"/>
      <c r="D108"/>
      <c r="E108"/>
      <c r="F108"/>
      <c r="G108"/>
      <c r="H108"/>
      <c r="I108"/>
      <c r="J108" s="49"/>
      <c r="K108"/>
      <c r="L108" s="13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  <c r="BJ108" s="22"/>
      <c r="BK108" s="22"/>
      <c r="BL108" s="22"/>
      <c r="BM108" s="22"/>
      <c r="BN108" s="22"/>
      <c r="BO108" s="22"/>
      <c r="BP108" s="22"/>
      <c r="BQ108" s="22"/>
      <c r="BR108" s="22"/>
      <c r="BS108" s="22"/>
      <c r="BT108" s="22"/>
      <c r="BU108" s="22"/>
      <c r="BV108" s="22"/>
      <c r="BW108" s="22"/>
    </row>
    <row r="109" spans="1:75" s="105" customFormat="1">
      <c r="A109" s="238" t="s">
        <v>246</v>
      </c>
      <c r="B109" s="63"/>
      <c r="J109" s="155"/>
      <c r="L109" s="142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  <c r="AT109" s="13"/>
      <c r="AU109" s="13"/>
      <c r="AV109" s="13"/>
      <c r="AW109" s="13"/>
      <c r="AX109" s="13"/>
      <c r="AY109" s="13"/>
      <c r="AZ109" s="13"/>
      <c r="BA109" s="13"/>
      <c r="BB109" s="13"/>
      <c r="BC109" s="13"/>
      <c r="BD109" s="13"/>
      <c r="BE109" s="13"/>
      <c r="BF109" s="13"/>
      <c r="BG109" s="13"/>
      <c r="BH109" s="13"/>
      <c r="BI109" s="13"/>
      <c r="BJ109" s="13"/>
      <c r="BK109" s="13"/>
      <c r="BL109" s="13"/>
      <c r="BM109" s="13"/>
      <c r="BN109" s="13"/>
      <c r="BO109" s="13"/>
      <c r="BP109" s="13"/>
      <c r="BQ109" s="13"/>
      <c r="BR109" s="13"/>
      <c r="BS109" s="13"/>
      <c r="BT109" s="13"/>
      <c r="BU109" s="13"/>
      <c r="BV109" s="13"/>
      <c r="BW109" s="13"/>
    </row>
    <row r="110" spans="1:75" s="15" customFormat="1">
      <c r="A110" s="109"/>
      <c r="B110" s="60"/>
      <c r="C110"/>
      <c r="D110"/>
      <c r="E110"/>
      <c r="F110"/>
      <c r="G110"/>
      <c r="H110"/>
      <c r="I110"/>
      <c r="J110" s="49"/>
      <c r="K110"/>
      <c r="L110" s="13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  <c r="BJ110" s="22"/>
      <c r="BK110" s="22"/>
      <c r="BL110" s="22"/>
      <c r="BM110" s="22"/>
      <c r="BN110" s="22"/>
      <c r="BO110" s="22"/>
      <c r="BP110" s="22"/>
      <c r="BQ110" s="22"/>
      <c r="BR110" s="22"/>
      <c r="BS110" s="22"/>
      <c r="BT110" s="22"/>
      <c r="BU110" s="22"/>
      <c r="BV110" s="22"/>
      <c r="BW110" s="22"/>
    </row>
    <row r="111" spans="1:75">
      <c r="A111" s="58" t="s">
        <v>25</v>
      </c>
      <c r="B111" s="58"/>
      <c r="C111"/>
      <c r="D111"/>
      <c r="E111"/>
      <c r="F111"/>
      <c r="G111"/>
      <c r="H111"/>
      <c r="I111"/>
      <c r="J111" s="49"/>
      <c r="K111"/>
      <c r="L111" s="132"/>
      <c r="M111" s="22"/>
      <c r="O111" s="22"/>
      <c r="Q111" s="22"/>
      <c r="S111" s="22"/>
      <c r="T111" s="6"/>
      <c r="U111" s="6"/>
      <c r="V111" s="6"/>
      <c r="X111" s="6"/>
      <c r="Z111" s="6"/>
      <c r="AB111" s="6"/>
      <c r="AD111" s="6"/>
      <c r="BJ111" s="6"/>
      <c r="BL111" s="6"/>
      <c r="BM111" s="6"/>
      <c r="BO111" s="6"/>
      <c r="BP111" s="6"/>
      <c r="BQ111" s="6"/>
      <c r="BS111" s="22"/>
      <c r="BU111" s="22"/>
      <c r="BW111" s="6"/>
    </row>
    <row r="112" spans="1:75">
      <c r="A112" s="17"/>
      <c r="B112" s="17" t="s">
        <v>377</v>
      </c>
      <c r="E112" s="4"/>
      <c r="G112" s="4"/>
      <c r="I112" s="4"/>
      <c r="J112" s="5" t="s">
        <v>0</v>
      </c>
      <c r="L112" s="132" t="s">
        <v>202</v>
      </c>
      <c r="M112" s="22"/>
      <c r="N112" s="6">
        <v>0</v>
      </c>
      <c r="O112" s="22"/>
      <c r="P112" s="6">
        <v>0</v>
      </c>
      <c r="Q112" s="22"/>
      <c r="R112" s="6">
        <v>185000</v>
      </c>
      <c r="S112" s="22"/>
      <c r="T112" s="6">
        <v>0</v>
      </c>
      <c r="U112" s="6"/>
      <c r="V112" s="6">
        <v>0</v>
      </c>
      <c r="X112" s="6">
        <v>0</v>
      </c>
      <c r="Z112" s="6">
        <v>0</v>
      </c>
      <c r="AB112" s="6">
        <v>0</v>
      </c>
      <c r="AD112" s="6">
        <v>0</v>
      </c>
      <c r="AF112" s="6">
        <v>0</v>
      </c>
      <c r="AH112" s="6">
        <v>0</v>
      </c>
      <c r="AJ112" s="6">
        <v>0</v>
      </c>
      <c r="AL112" s="6">
        <v>0</v>
      </c>
      <c r="AN112" s="6">
        <v>0</v>
      </c>
      <c r="AP112" s="6">
        <v>0</v>
      </c>
      <c r="AR112" s="6">
        <v>0</v>
      </c>
      <c r="AT112" s="6">
        <v>0</v>
      </c>
      <c r="AV112" s="6">
        <v>37000</v>
      </c>
      <c r="AX112" s="6">
        <v>37000</v>
      </c>
      <c r="AZ112" s="6">
        <v>37000</v>
      </c>
      <c r="BB112" s="6">
        <v>37000</v>
      </c>
      <c r="BD112" s="6">
        <v>37000</v>
      </c>
      <c r="BF112" s="6">
        <v>0</v>
      </c>
      <c r="BH112" s="6">
        <v>0</v>
      </c>
      <c r="BJ112" s="6">
        <v>0</v>
      </c>
      <c r="BL112" s="6">
        <v>0</v>
      </c>
      <c r="BM112" s="6"/>
      <c r="BN112" s="6">
        <f>SUM(T112:BM112)</f>
        <v>185000</v>
      </c>
      <c r="BO112" s="6"/>
      <c r="BP112" s="6">
        <v>0</v>
      </c>
      <c r="BQ112" s="6"/>
      <c r="BR112" s="6">
        <f>IF(+R112-BN112+BP112&gt;0,R112-BN112+BP112,0)</f>
        <v>0</v>
      </c>
      <c r="BS112" s="22"/>
      <c r="BT112" s="6">
        <f>+BN112+BR112</f>
        <v>185000</v>
      </c>
      <c r="BU112" s="22"/>
      <c r="BV112" s="6">
        <f>+R112-BT112</f>
        <v>0</v>
      </c>
      <c r="BW112" s="6"/>
    </row>
    <row r="113" spans="1:75">
      <c r="A113" s="17"/>
      <c r="B113" s="17" t="s">
        <v>380</v>
      </c>
      <c r="E113" s="4"/>
      <c r="G113" s="4"/>
      <c r="I113" s="4"/>
      <c r="L113" s="132" t="s">
        <v>202</v>
      </c>
      <c r="M113" s="22"/>
      <c r="N113" s="6">
        <v>0</v>
      </c>
      <c r="O113" s="22"/>
      <c r="P113" s="6">
        <v>0</v>
      </c>
      <c r="Q113" s="22"/>
      <c r="R113" s="6">
        <v>723786</v>
      </c>
      <c r="S113" s="22"/>
      <c r="T113" s="6">
        <v>0</v>
      </c>
      <c r="U113" s="6"/>
      <c r="V113" s="6">
        <v>0</v>
      </c>
      <c r="X113" s="6">
        <v>0</v>
      </c>
      <c r="Z113" s="6">
        <v>0</v>
      </c>
      <c r="AB113" s="6">
        <v>0</v>
      </c>
      <c r="AD113" s="6">
        <v>0</v>
      </c>
      <c r="AF113" s="6">
        <v>0</v>
      </c>
      <c r="AH113" s="6">
        <v>0</v>
      </c>
      <c r="AJ113" s="6">
        <v>0</v>
      </c>
      <c r="AL113" s="6">
        <v>0</v>
      </c>
      <c r="AN113" s="6">
        <v>0</v>
      </c>
      <c r="AP113" s="6">
        <v>0</v>
      </c>
      <c r="AR113" s="6">
        <v>0</v>
      </c>
      <c r="AT113" s="6">
        <v>0</v>
      </c>
      <c r="AV113" s="6">
        <v>0</v>
      </c>
      <c r="AX113" s="6">
        <f>62387.82+110932</f>
        <v>173319.82</v>
      </c>
      <c r="AZ113" s="6">
        <v>125493.07</v>
      </c>
      <c r="BB113" s="6">
        <v>179683.78</v>
      </c>
      <c r="BD113" s="6">
        <v>146125.89000000001</v>
      </c>
      <c r="BF113" s="6">
        <v>164872.12</v>
      </c>
      <c r="BH113" s="10">
        <v>85226.45</v>
      </c>
      <c r="BJ113" s="6">
        <v>27389</v>
      </c>
      <c r="BL113" s="6">
        <v>33049</v>
      </c>
      <c r="BM113" s="6"/>
      <c r="BN113" s="6">
        <f>SUM(T113:BM113)</f>
        <v>935159.13</v>
      </c>
      <c r="BO113" s="6"/>
      <c r="BP113" s="6">
        <v>0</v>
      </c>
      <c r="BQ113" s="6"/>
      <c r="BR113" s="6">
        <f>IF(+R113-BN113+BP113&gt;0,R113-BN113+BP113,0)</f>
        <v>0</v>
      </c>
      <c r="BS113" s="22"/>
      <c r="BT113" s="6">
        <f>+BN113+BR113</f>
        <v>935159.13</v>
      </c>
      <c r="BU113" s="22"/>
      <c r="BV113" s="6">
        <f>+R113-BT113</f>
        <v>-211373.13</v>
      </c>
      <c r="BW113" s="6"/>
    </row>
    <row r="114" spans="1:75" hidden="1">
      <c r="A114" s="17"/>
      <c r="B114" s="17" t="s">
        <v>121</v>
      </c>
      <c r="E114" s="4"/>
      <c r="G114" s="4"/>
      <c r="I114" s="4"/>
      <c r="L114" s="132" t="s">
        <v>202</v>
      </c>
      <c r="M114" s="22"/>
      <c r="N114" s="6">
        <v>0</v>
      </c>
      <c r="O114" s="22"/>
      <c r="P114" s="6">
        <v>0</v>
      </c>
      <c r="Q114" s="22"/>
      <c r="R114" s="6">
        <v>0</v>
      </c>
      <c r="S114" s="22"/>
      <c r="T114" s="6">
        <v>0</v>
      </c>
      <c r="U114" s="6"/>
      <c r="V114" s="6">
        <v>0</v>
      </c>
      <c r="X114" s="6">
        <v>0</v>
      </c>
      <c r="Z114" s="6">
        <v>0</v>
      </c>
      <c r="AB114" s="6">
        <v>0</v>
      </c>
      <c r="AD114" s="6">
        <v>0</v>
      </c>
      <c r="AF114" s="6">
        <v>0</v>
      </c>
      <c r="AH114" s="6">
        <v>0</v>
      </c>
      <c r="AJ114" s="6">
        <v>0</v>
      </c>
      <c r="AL114" s="6">
        <v>0</v>
      </c>
      <c r="AN114" s="6">
        <v>0</v>
      </c>
      <c r="AP114" s="6">
        <v>0</v>
      </c>
      <c r="AR114" s="6">
        <v>0</v>
      </c>
      <c r="AT114" s="6">
        <v>0</v>
      </c>
      <c r="AV114" s="6">
        <v>0</v>
      </c>
      <c r="AX114" s="6">
        <v>0</v>
      </c>
      <c r="AZ114" s="6">
        <v>0</v>
      </c>
      <c r="BB114" s="6">
        <v>0</v>
      </c>
      <c r="BD114" s="6">
        <v>0</v>
      </c>
      <c r="BF114" s="6">
        <v>0</v>
      </c>
      <c r="BH114" s="6">
        <v>0</v>
      </c>
      <c r="BJ114" s="6">
        <v>0</v>
      </c>
      <c r="BL114" s="6">
        <v>0</v>
      </c>
      <c r="BM114" s="6"/>
      <c r="BN114" s="6">
        <f>SUM(T114:BM114)</f>
        <v>0</v>
      </c>
      <c r="BO114" s="6"/>
      <c r="BP114" s="6">
        <v>0</v>
      </c>
      <c r="BQ114" s="6"/>
      <c r="BR114" s="6">
        <f>+R114-BN114+BP114</f>
        <v>0</v>
      </c>
      <c r="BS114" s="22"/>
      <c r="BT114" s="6">
        <f>+BN114+BR114</f>
        <v>0</v>
      </c>
      <c r="BU114" s="22"/>
      <c r="BV114" s="6">
        <f>+R114-BT114</f>
        <v>0</v>
      </c>
      <c r="BW114" s="6"/>
    </row>
    <row r="115" spans="1:75" s="21" customFormat="1">
      <c r="A115" s="58"/>
      <c r="B115" s="58" t="s">
        <v>247</v>
      </c>
      <c r="J115" s="8"/>
      <c r="L115" s="141"/>
      <c r="M115" s="16"/>
      <c r="N115" s="102">
        <f>SUM(N112:N114)</f>
        <v>0</v>
      </c>
      <c r="O115" s="16"/>
      <c r="P115" s="102">
        <f>SUM(P112:P114)</f>
        <v>0</v>
      </c>
      <c r="Q115" s="16"/>
      <c r="R115" s="102">
        <f>SUM(R112:R114)</f>
        <v>908786</v>
      </c>
      <c r="S115" s="16"/>
      <c r="T115" s="102">
        <f>SUM(T112:T114)</f>
        <v>0</v>
      </c>
      <c r="U115" s="9"/>
      <c r="V115" s="102">
        <f>SUM(V112:V114)</f>
        <v>0</v>
      </c>
      <c r="W115" s="9"/>
      <c r="X115" s="102">
        <f>SUM(X112:X114)</f>
        <v>0</v>
      </c>
      <c r="Y115" s="9"/>
      <c r="Z115" s="102">
        <f>SUM(Z112:Z114)</f>
        <v>0</v>
      </c>
      <c r="AA115" s="9"/>
      <c r="AB115" s="102">
        <f>SUM(AB112:AB114)</f>
        <v>0</v>
      </c>
      <c r="AC115" s="9"/>
      <c r="AD115" s="102">
        <f>SUM(AD112:AD114)</f>
        <v>0</v>
      </c>
      <c r="AE115" s="9"/>
      <c r="AF115" s="102">
        <f>SUM(AF112:AF114)</f>
        <v>0</v>
      </c>
      <c r="AG115" s="9"/>
      <c r="AH115" s="102">
        <f>SUM(AH112:AH114)</f>
        <v>0</v>
      </c>
      <c r="AI115" s="9"/>
      <c r="AJ115" s="102">
        <f>SUM(AJ112:AJ114)</f>
        <v>0</v>
      </c>
      <c r="AK115" s="9"/>
      <c r="AL115" s="102">
        <f>SUM(AL112:AL114)</f>
        <v>0</v>
      </c>
      <c r="AM115" s="9"/>
      <c r="AN115" s="102">
        <f>SUM(AN112:AN114)</f>
        <v>0</v>
      </c>
      <c r="AO115" s="9"/>
      <c r="AP115" s="102">
        <f>SUM(AP112:AP114)</f>
        <v>0</v>
      </c>
      <c r="AQ115" s="9"/>
      <c r="AR115" s="102">
        <f>SUM(AR112:AR114)</f>
        <v>0</v>
      </c>
      <c r="AS115" s="9"/>
      <c r="AT115" s="102">
        <f>SUM(AT112:AT114)</f>
        <v>0</v>
      </c>
      <c r="AU115" s="10"/>
      <c r="AV115" s="102">
        <f>SUM(AV112:AV114)</f>
        <v>37000</v>
      </c>
      <c r="AW115" s="10"/>
      <c r="AX115" s="102">
        <f>SUM(AX112:AX114)</f>
        <v>210319.82</v>
      </c>
      <c r="AY115" s="10"/>
      <c r="AZ115" s="102">
        <f>SUM(AZ112:AZ114)</f>
        <v>162493.07</v>
      </c>
      <c r="BA115" s="10"/>
      <c r="BB115" s="102">
        <f>SUM(BB112:BB114)</f>
        <v>216683.78</v>
      </c>
      <c r="BC115" s="10"/>
      <c r="BD115" s="102">
        <f>SUM(BD112:BD114)</f>
        <v>183125.89</v>
      </c>
      <c r="BE115" s="10"/>
      <c r="BF115" s="102">
        <f>SUM(BF112:BF114)</f>
        <v>164872.12</v>
      </c>
      <c r="BG115" s="10"/>
      <c r="BH115" s="102">
        <f>SUM(BH112:BH114)</f>
        <v>85226.45</v>
      </c>
      <c r="BI115" s="10"/>
      <c r="BJ115" s="102">
        <f>SUM(BJ112:BJ114)</f>
        <v>27389</v>
      </c>
      <c r="BK115" s="10"/>
      <c r="BL115" s="102">
        <f>SUM(BL112:BL114)</f>
        <v>33049</v>
      </c>
      <c r="BM115" s="9"/>
      <c r="BN115" s="102">
        <f>SUM(BN112:BN114)</f>
        <v>1120159.1299999999</v>
      </c>
      <c r="BO115" s="9"/>
      <c r="BP115" s="102">
        <f>SUM(BP112:BP114)</f>
        <v>0</v>
      </c>
      <c r="BQ115" s="9"/>
      <c r="BR115" s="102">
        <f>SUM(BR112:BR114)</f>
        <v>0</v>
      </c>
      <c r="BS115" s="16"/>
      <c r="BT115" s="102">
        <f>SUM(BT112:BT114)</f>
        <v>1120159.1299999999</v>
      </c>
      <c r="BU115" s="16"/>
      <c r="BV115" s="102">
        <f>SUM(BV112:BV114)</f>
        <v>-211373.13</v>
      </c>
      <c r="BW115" s="9"/>
    </row>
    <row r="116" spans="1:75" s="21" customFormat="1">
      <c r="A116" s="58"/>
      <c r="B116" s="58"/>
      <c r="J116" s="8"/>
      <c r="L116" s="141"/>
      <c r="M116" s="16"/>
      <c r="N116" s="10"/>
      <c r="O116" s="16"/>
      <c r="P116" s="10"/>
      <c r="Q116" s="16"/>
      <c r="R116" s="10"/>
      <c r="S116" s="16"/>
      <c r="T116" s="10"/>
      <c r="U116" s="9"/>
      <c r="V116" s="10"/>
      <c r="W116" s="9"/>
      <c r="X116" s="10"/>
      <c r="Y116" s="9"/>
      <c r="Z116" s="10"/>
      <c r="AA116" s="9"/>
      <c r="AB116" s="10"/>
      <c r="AC116" s="9"/>
      <c r="AD116" s="10"/>
      <c r="AE116" s="9"/>
      <c r="AF116" s="10"/>
      <c r="AG116" s="9"/>
      <c r="AH116" s="10"/>
      <c r="AI116" s="9"/>
      <c r="AJ116" s="10"/>
      <c r="AK116" s="9"/>
      <c r="AL116" s="10"/>
      <c r="AM116" s="9"/>
      <c r="AN116" s="10"/>
      <c r="AO116" s="9"/>
      <c r="AP116" s="10"/>
      <c r="AQ116" s="9"/>
      <c r="AR116" s="10"/>
      <c r="AS116" s="9"/>
      <c r="AT116" s="10"/>
      <c r="AU116" s="10"/>
      <c r="AV116" s="10"/>
      <c r="AW116" s="10"/>
      <c r="AX116" s="10"/>
      <c r="AY116" s="10"/>
      <c r="AZ116" s="10"/>
      <c r="BA116" s="10"/>
      <c r="BB116" s="10"/>
      <c r="BC116" s="10"/>
      <c r="BD116" s="10"/>
      <c r="BE116" s="10"/>
      <c r="BF116" s="10"/>
      <c r="BG116" s="10"/>
      <c r="BI116" s="10"/>
      <c r="BJ116" s="10"/>
      <c r="BK116" s="10"/>
      <c r="BL116" s="10"/>
      <c r="BM116" s="9"/>
      <c r="BN116" s="10"/>
      <c r="BO116" s="9"/>
      <c r="BP116" s="10"/>
      <c r="BQ116" s="9"/>
      <c r="BR116" s="10"/>
      <c r="BS116" s="16"/>
      <c r="BT116" s="10"/>
      <c r="BU116" s="16"/>
      <c r="BV116" s="10"/>
      <c r="BW116" s="9"/>
    </row>
    <row r="117" spans="1:75" s="21" customFormat="1">
      <c r="A117" s="77" t="s">
        <v>120</v>
      </c>
      <c r="B117" s="58"/>
      <c r="J117" s="8" t="s">
        <v>0</v>
      </c>
      <c r="L117" s="141" t="s">
        <v>202</v>
      </c>
      <c r="M117" s="9"/>
      <c r="N117" s="9">
        <v>0</v>
      </c>
      <c r="O117" s="9"/>
      <c r="P117" s="9">
        <v>0</v>
      </c>
      <c r="Q117" s="9"/>
      <c r="R117" s="9">
        <v>0</v>
      </c>
      <c r="S117" s="9"/>
      <c r="T117" s="9">
        <v>0</v>
      </c>
      <c r="U117" s="9"/>
      <c r="V117" s="9">
        <v>0</v>
      </c>
      <c r="W117" s="9"/>
      <c r="X117" s="9">
        <v>0</v>
      </c>
      <c r="Y117" s="9"/>
      <c r="Z117" s="9">
        <v>0</v>
      </c>
      <c r="AA117" s="9"/>
      <c r="AB117" s="9">
        <v>0</v>
      </c>
      <c r="AC117" s="9"/>
      <c r="AD117" s="9">
        <v>0</v>
      </c>
      <c r="AE117" s="9"/>
      <c r="AF117" s="9">
        <v>0</v>
      </c>
      <c r="AG117" s="9"/>
      <c r="AH117" s="9">
        <v>0</v>
      </c>
      <c r="AI117" s="9"/>
      <c r="AJ117" s="9">
        <v>0</v>
      </c>
      <c r="AK117" s="9"/>
      <c r="AL117" s="9">
        <v>0</v>
      </c>
      <c r="AM117" s="9"/>
      <c r="AN117" s="9">
        <v>0</v>
      </c>
      <c r="AO117" s="9"/>
      <c r="AP117" s="9">
        <v>0</v>
      </c>
      <c r="AQ117" s="9"/>
      <c r="AR117" s="9">
        <v>0</v>
      </c>
      <c r="AS117" s="9"/>
      <c r="AT117" s="9">
        <v>0</v>
      </c>
      <c r="AU117" s="9"/>
      <c r="AV117" s="9">
        <v>0</v>
      </c>
      <c r="AW117" s="9"/>
      <c r="AX117" s="9">
        <v>0</v>
      </c>
      <c r="AY117" s="9"/>
      <c r="AZ117" s="9">
        <v>0</v>
      </c>
      <c r="BA117" s="9"/>
      <c r="BB117" s="9">
        <v>0</v>
      </c>
      <c r="BC117" s="9"/>
      <c r="BD117" s="9">
        <v>0</v>
      </c>
      <c r="BE117" s="9"/>
      <c r="BF117" s="9">
        <v>0</v>
      </c>
      <c r="BG117" s="9"/>
      <c r="BH117" s="9">
        <v>0</v>
      </c>
      <c r="BI117" s="9"/>
      <c r="BJ117" s="9">
        <v>0</v>
      </c>
      <c r="BK117" s="9"/>
      <c r="BL117" s="9">
        <v>0</v>
      </c>
      <c r="BM117" s="9"/>
      <c r="BN117" s="9">
        <f>SUM(T117:BM117)</f>
        <v>0</v>
      </c>
      <c r="BO117" s="9"/>
      <c r="BP117" s="9">
        <v>0</v>
      </c>
      <c r="BQ117" s="9"/>
      <c r="BR117" s="6">
        <f>IF(+R117-BN117+BP117&gt;0,R117-BN117+BP117,0)</f>
        <v>0</v>
      </c>
      <c r="BS117" s="9"/>
      <c r="BT117" s="9">
        <f>+BN117+BR117</f>
        <v>0</v>
      </c>
      <c r="BU117" s="9"/>
      <c r="BV117" s="9">
        <f>+R117-BT117</f>
        <v>0</v>
      </c>
      <c r="BW117" s="9"/>
    </row>
    <row r="118" spans="1:75" s="21" customFormat="1">
      <c r="A118" s="77"/>
      <c r="B118" s="58"/>
      <c r="J118" s="8"/>
      <c r="L118" s="141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9"/>
      <c r="AO118" s="9"/>
      <c r="AP118" s="9"/>
      <c r="AQ118" s="9"/>
      <c r="AR118" s="9"/>
      <c r="AS118" s="9"/>
      <c r="AT118" s="9"/>
      <c r="AU118" s="9"/>
      <c r="AV118" s="9"/>
      <c r="AW118" s="9"/>
      <c r="AX118" s="9"/>
      <c r="AY118" s="9"/>
      <c r="AZ118" s="9"/>
      <c r="BA118" s="9"/>
      <c r="BB118" s="9"/>
      <c r="BC118" s="9"/>
      <c r="BD118" s="9"/>
      <c r="BE118" s="9"/>
      <c r="BF118" s="9"/>
      <c r="BG118" s="9"/>
      <c r="BH118" s="9"/>
      <c r="BI118" s="9"/>
      <c r="BJ118" s="9"/>
      <c r="BK118" s="9"/>
      <c r="BL118" s="9"/>
      <c r="BM118" s="9"/>
      <c r="BN118" s="9"/>
      <c r="BO118" s="9"/>
      <c r="BP118" s="9"/>
      <c r="BQ118" s="9"/>
      <c r="BR118" s="9"/>
      <c r="BS118" s="9"/>
      <c r="BT118" s="9"/>
      <c r="BU118" s="9"/>
      <c r="BV118" s="9"/>
      <c r="BW118" s="9"/>
    </row>
    <row r="119" spans="1:75" s="21" customFormat="1">
      <c r="A119" s="58" t="s">
        <v>216</v>
      </c>
      <c r="B119" s="31"/>
      <c r="J119" s="8" t="s">
        <v>0</v>
      </c>
      <c r="L119" s="132" t="s">
        <v>202</v>
      </c>
      <c r="M119" s="9"/>
      <c r="N119" s="9">
        <v>400000</v>
      </c>
      <c r="O119" s="9"/>
      <c r="P119" s="9">
        <v>100000</v>
      </c>
      <c r="Q119" s="9"/>
      <c r="R119" s="9">
        <v>1500000</v>
      </c>
      <c r="S119" s="9"/>
      <c r="T119" s="9">
        <v>0</v>
      </c>
      <c r="U119" s="9"/>
      <c r="V119" s="9">
        <v>0</v>
      </c>
      <c r="W119" s="9"/>
      <c r="X119" s="9">
        <v>0</v>
      </c>
      <c r="Y119" s="9"/>
      <c r="Z119" s="9">
        <v>0</v>
      </c>
      <c r="AA119" s="9"/>
      <c r="AB119" s="9">
        <v>0</v>
      </c>
      <c r="AC119" s="9"/>
      <c r="AD119" s="9">
        <v>0</v>
      </c>
      <c r="AE119" s="9"/>
      <c r="AF119" s="9">
        <v>0</v>
      </c>
      <c r="AG119" s="9"/>
      <c r="AH119" s="9">
        <v>0</v>
      </c>
      <c r="AI119" s="9"/>
      <c r="AJ119" s="9">
        <v>0</v>
      </c>
      <c r="AK119" s="9"/>
      <c r="AL119" s="9">
        <v>0</v>
      </c>
      <c r="AM119" s="9"/>
      <c r="AN119" s="9">
        <v>0</v>
      </c>
      <c r="AO119" s="9"/>
      <c r="AP119" s="9">
        <v>38083.5</v>
      </c>
      <c r="AQ119" s="9"/>
      <c r="AR119" s="9">
        <v>0</v>
      </c>
      <c r="AS119" s="9"/>
      <c r="AT119" s="9">
        <v>16047.5</v>
      </c>
      <c r="AU119" s="9"/>
      <c r="AV119" s="9">
        <v>750</v>
      </c>
      <c r="AW119" s="9"/>
      <c r="AX119" s="9">
        <v>44229</v>
      </c>
      <c r="AY119" s="9"/>
      <c r="AZ119" s="9">
        <v>0</v>
      </c>
      <c r="BA119" s="9"/>
      <c r="BB119" s="9">
        <v>0</v>
      </c>
      <c r="BC119" s="9"/>
      <c r="BD119" s="9">
        <v>0</v>
      </c>
      <c r="BE119" s="9"/>
      <c r="BF119" s="9">
        <v>0</v>
      </c>
      <c r="BG119" s="9"/>
      <c r="BH119" s="9">
        <v>0</v>
      </c>
      <c r="BI119" s="9"/>
      <c r="BJ119" s="9">
        <v>0</v>
      </c>
      <c r="BK119" s="9"/>
      <c r="BL119" s="9">
        <v>0</v>
      </c>
      <c r="BM119" s="9"/>
      <c r="BN119" s="9">
        <f>SUM(T119:BM119)</f>
        <v>99110</v>
      </c>
      <c r="BO119" s="9"/>
      <c r="BP119" s="9">
        <v>0</v>
      </c>
      <c r="BQ119" s="9"/>
      <c r="BR119" s="6">
        <f>IF(+R119-BN119+BP119&gt;0,R119-BN119+BP119,0)</f>
        <v>1400890</v>
      </c>
      <c r="BS119" s="9"/>
      <c r="BT119" s="9">
        <f>+BN119+BR119</f>
        <v>1500000</v>
      </c>
      <c r="BU119" s="9"/>
      <c r="BV119" s="9">
        <f>+R119-BT119</f>
        <v>0</v>
      </c>
      <c r="BW119" s="9"/>
    </row>
    <row r="120" spans="1:75" s="21" customFormat="1">
      <c r="A120" s="58"/>
      <c r="B120" s="31"/>
      <c r="J120" s="8"/>
      <c r="L120" s="132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  <c r="AP120" s="9"/>
      <c r="AQ120" s="9"/>
      <c r="AR120" s="9"/>
      <c r="AS120" s="9"/>
      <c r="AT120" s="9"/>
      <c r="AU120" s="9"/>
      <c r="AV120" s="9"/>
      <c r="AW120" s="9"/>
      <c r="AX120" s="9"/>
      <c r="AY120" s="9"/>
      <c r="AZ120" s="9"/>
      <c r="BA120" s="9"/>
      <c r="BB120" s="9"/>
      <c r="BC120" s="9"/>
      <c r="BD120" s="9"/>
      <c r="BE120" s="9"/>
      <c r="BF120" s="9"/>
      <c r="BG120" s="9"/>
      <c r="BH120" s="9"/>
      <c r="BI120" s="9"/>
      <c r="BJ120" s="9"/>
      <c r="BK120" s="9"/>
      <c r="BL120" s="9"/>
      <c r="BM120" s="9"/>
      <c r="BN120" s="9"/>
      <c r="BO120" s="9"/>
      <c r="BP120" s="9"/>
      <c r="BQ120" s="9"/>
      <c r="BR120" s="9"/>
      <c r="BS120" s="9"/>
      <c r="BT120" s="9"/>
      <c r="BU120" s="9"/>
      <c r="BV120" s="9"/>
      <c r="BW120" s="9"/>
    </row>
    <row r="121" spans="1:75" s="31" customFormat="1">
      <c r="A121" s="58" t="s">
        <v>30</v>
      </c>
      <c r="J121" s="156" t="s">
        <v>0</v>
      </c>
      <c r="L121" s="143" t="s">
        <v>202</v>
      </c>
      <c r="M121" s="10"/>
      <c r="N121" s="10">
        <v>0</v>
      </c>
      <c r="O121" s="10"/>
      <c r="P121" s="10">
        <v>0</v>
      </c>
      <c r="Q121" s="10"/>
      <c r="R121" s="9">
        <v>50000</v>
      </c>
      <c r="S121" s="10"/>
      <c r="T121" s="10">
        <v>0</v>
      </c>
      <c r="U121" s="10"/>
      <c r="V121" s="10">
        <v>0</v>
      </c>
      <c r="W121" s="10"/>
      <c r="X121" s="10">
        <v>0</v>
      </c>
      <c r="Y121" s="10"/>
      <c r="Z121" s="10">
        <v>0</v>
      </c>
      <c r="AA121" s="10"/>
      <c r="AB121" s="10">
        <v>0</v>
      </c>
      <c r="AC121" s="10"/>
      <c r="AD121" s="10">
        <v>0</v>
      </c>
      <c r="AE121" s="10"/>
      <c r="AF121" s="10">
        <v>0</v>
      </c>
      <c r="AG121" s="10"/>
      <c r="AH121" s="10">
        <v>0</v>
      </c>
      <c r="AI121" s="10"/>
      <c r="AJ121" s="10">
        <v>0</v>
      </c>
      <c r="AK121" s="10"/>
      <c r="AL121" s="10">
        <v>0</v>
      </c>
      <c r="AM121" s="10"/>
      <c r="AN121" s="10">
        <v>0</v>
      </c>
      <c r="AO121" s="10"/>
      <c r="AP121" s="10">
        <v>0</v>
      </c>
      <c r="AQ121" s="10"/>
      <c r="AR121" s="10">
        <v>0</v>
      </c>
      <c r="AS121" s="10"/>
      <c r="AT121" s="10">
        <v>0</v>
      </c>
      <c r="AU121" s="10"/>
      <c r="AV121" s="10">
        <v>0</v>
      </c>
      <c r="AW121" s="10"/>
      <c r="AX121" s="10">
        <v>0</v>
      </c>
      <c r="AY121" s="10"/>
      <c r="AZ121" s="10">
        <v>0</v>
      </c>
      <c r="BA121" s="10"/>
      <c r="BB121" s="10">
        <v>0</v>
      </c>
      <c r="BC121" s="10"/>
      <c r="BD121" s="10">
        <v>0</v>
      </c>
      <c r="BE121" s="10"/>
      <c r="BF121" s="10">
        <v>0</v>
      </c>
      <c r="BG121" s="10"/>
      <c r="BH121" s="10">
        <v>13668.55</v>
      </c>
      <c r="BI121" s="10"/>
      <c r="BJ121" s="10">
        <v>0</v>
      </c>
      <c r="BK121" s="10"/>
      <c r="BL121" s="10">
        <v>0</v>
      </c>
      <c r="BM121" s="10"/>
      <c r="BN121" s="10">
        <f>SUM(T121:BM121)</f>
        <v>13668.55</v>
      </c>
      <c r="BO121" s="10"/>
      <c r="BP121" s="10">
        <v>0</v>
      </c>
      <c r="BQ121" s="10"/>
      <c r="BR121" s="6">
        <f>IF(+R121-BN121+BP121&gt;0,R121-BN121+BP121,0)</f>
        <v>36331.449999999997</v>
      </c>
      <c r="BS121" s="10"/>
      <c r="BT121" s="9">
        <f>+BN121+BR121</f>
        <v>50000</v>
      </c>
      <c r="BU121" s="10"/>
      <c r="BV121" s="9">
        <f>+R121-BT121</f>
        <v>0</v>
      </c>
      <c r="BW121" s="10"/>
    </row>
    <row r="122" spans="1:75" s="21" customFormat="1">
      <c r="A122" s="58"/>
      <c r="B122" s="31"/>
      <c r="J122" s="8"/>
      <c r="L122" s="132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  <c r="AP122" s="9"/>
      <c r="AQ122" s="9"/>
      <c r="AR122" s="9"/>
      <c r="AS122" s="9"/>
      <c r="AT122" s="9"/>
      <c r="AU122" s="9"/>
      <c r="AV122" s="9"/>
      <c r="AW122" s="9"/>
      <c r="AX122" s="9"/>
      <c r="AY122" s="9"/>
      <c r="AZ122" s="9"/>
      <c r="BA122" s="9"/>
      <c r="BB122" s="9"/>
      <c r="BC122" s="9"/>
      <c r="BD122" s="9"/>
      <c r="BE122" s="9"/>
      <c r="BF122" s="9"/>
      <c r="BG122" s="9"/>
      <c r="BH122" s="9"/>
      <c r="BI122" s="9"/>
      <c r="BJ122" s="9"/>
      <c r="BK122" s="9"/>
      <c r="BL122" s="9"/>
      <c r="BM122" s="9"/>
      <c r="BN122" s="9"/>
      <c r="BO122" s="9"/>
      <c r="BP122" s="9"/>
      <c r="BQ122" s="9"/>
      <c r="BR122" s="9"/>
      <c r="BS122" s="9"/>
      <c r="BT122" s="9"/>
      <c r="BU122" s="9"/>
      <c r="BV122" s="9"/>
      <c r="BW122" s="9"/>
    </row>
    <row r="123" spans="1:75" s="21" customFormat="1">
      <c r="A123" s="58" t="s">
        <v>26</v>
      </c>
      <c r="B123" s="58"/>
      <c r="J123" s="8" t="s">
        <v>0</v>
      </c>
      <c r="L123" s="132" t="s">
        <v>202</v>
      </c>
      <c r="M123" s="16"/>
      <c r="N123" s="9">
        <v>0</v>
      </c>
      <c r="O123" s="16"/>
      <c r="P123" s="9">
        <v>0</v>
      </c>
      <c r="Q123" s="16"/>
      <c r="R123" s="9">
        <v>1172731</v>
      </c>
      <c r="S123" s="16"/>
      <c r="T123" s="9">
        <v>0</v>
      </c>
      <c r="U123" s="9"/>
      <c r="V123" s="9">
        <v>0</v>
      </c>
      <c r="W123" s="9"/>
      <c r="X123" s="9">
        <v>0</v>
      </c>
      <c r="Y123" s="9"/>
      <c r="Z123" s="9">
        <v>0</v>
      </c>
      <c r="AA123" s="9"/>
      <c r="AB123" s="9">
        <v>0</v>
      </c>
      <c r="AC123" s="9"/>
      <c r="AD123" s="9">
        <v>0</v>
      </c>
      <c r="AE123" s="9"/>
      <c r="AF123" s="9">
        <v>0</v>
      </c>
      <c r="AG123" s="9"/>
      <c r="AH123" s="9">
        <v>0</v>
      </c>
      <c r="AI123" s="9"/>
      <c r="AJ123" s="9">
        <v>0</v>
      </c>
      <c r="AK123" s="9"/>
      <c r="AL123" s="9">
        <v>0</v>
      </c>
      <c r="AM123" s="9"/>
      <c r="AN123" s="9">
        <v>0</v>
      </c>
      <c r="AO123" s="9"/>
      <c r="AP123" s="9">
        <v>0</v>
      </c>
      <c r="AQ123" s="9"/>
      <c r="AR123" s="9">
        <v>0</v>
      </c>
      <c r="AS123" s="9"/>
      <c r="AT123" s="9">
        <v>0</v>
      </c>
      <c r="AU123" s="9"/>
      <c r="AV123" s="9">
        <v>0</v>
      </c>
      <c r="AW123" s="9"/>
      <c r="AX123" s="9">
        <v>0</v>
      </c>
      <c r="AY123" s="9"/>
      <c r="AZ123" s="9">
        <v>0</v>
      </c>
      <c r="BA123" s="9"/>
      <c r="BB123" s="9">
        <v>0</v>
      </c>
      <c r="BC123" s="9"/>
      <c r="BD123" s="9">
        <v>0</v>
      </c>
      <c r="BE123" s="9"/>
      <c r="BF123" s="9">
        <v>0</v>
      </c>
      <c r="BG123" s="9"/>
      <c r="BH123" s="9">
        <v>35636.879999999997</v>
      </c>
      <c r="BI123" s="9"/>
      <c r="BJ123" s="9">
        <f>-35637+42515</f>
        <v>6878</v>
      </c>
      <c r="BK123" s="9"/>
      <c r="BL123" s="9">
        <v>0</v>
      </c>
      <c r="BM123" s="9"/>
      <c r="BN123" s="9">
        <f>SUM(T123:BM123)</f>
        <v>42514.879999999997</v>
      </c>
      <c r="BO123" s="9"/>
      <c r="BP123" s="9">
        <v>0</v>
      </c>
      <c r="BQ123" s="9"/>
      <c r="BR123" s="6">
        <f>IF(+R123-BN123+BP123&gt;0,R123-BN123+BP123,0)</f>
        <v>1130216.1200000001</v>
      </c>
      <c r="BS123" s="16"/>
      <c r="BT123" s="9">
        <f>+BN123+BR123</f>
        <v>1172731</v>
      </c>
      <c r="BU123" s="16"/>
      <c r="BV123" s="9">
        <f>+R123-BT123</f>
        <v>0</v>
      </c>
      <c r="BW123" s="9"/>
    </row>
    <row r="124" spans="1:75" s="21" customFormat="1">
      <c r="A124" s="58"/>
      <c r="B124" s="31"/>
      <c r="J124" s="8"/>
      <c r="L124" s="132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9"/>
      <c r="AQ124" s="9"/>
      <c r="AR124" s="9"/>
      <c r="AS124" s="9"/>
      <c r="AT124" s="9"/>
      <c r="AU124" s="9"/>
      <c r="AV124" s="9"/>
      <c r="AW124" s="9"/>
      <c r="AX124" s="9"/>
      <c r="AY124" s="9"/>
      <c r="AZ124" s="9"/>
      <c r="BA124" s="9"/>
      <c r="BB124" s="9"/>
      <c r="BC124" s="9"/>
      <c r="BD124" s="9"/>
      <c r="BE124" s="9"/>
      <c r="BF124" s="9"/>
      <c r="BG124" s="9"/>
      <c r="BH124" s="9"/>
      <c r="BI124" s="9"/>
      <c r="BJ124" s="9"/>
      <c r="BK124" s="9"/>
      <c r="BL124" s="9"/>
      <c r="BM124" s="9"/>
      <c r="BN124" s="9"/>
      <c r="BO124" s="9"/>
      <c r="BP124" s="9"/>
      <c r="BQ124" s="9"/>
      <c r="BR124" s="9"/>
      <c r="BS124" s="9"/>
      <c r="BT124" s="9"/>
      <c r="BU124" s="9"/>
      <c r="BV124" s="9"/>
      <c r="BW124" s="9"/>
    </row>
    <row r="125" spans="1:75">
      <c r="A125" s="58" t="s">
        <v>27</v>
      </c>
      <c r="B125" s="11"/>
      <c r="C125"/>
      <c r="D125"/>
      <c r="E125"/>
      <c r="F125"/>
      <c r="G125"/>
      <c r="H125"/>
      <c r="I125"/>
      <c r="J125" s="49"/>
      <c r="K125"/>
      <c r="L125" s="132"/>
      <c r="M125" s="6"/>
      <c r="O125" s="6"/>
      <c r="Q125" s="6"/>
      <c r="S125" s="6"/>
      <c r="T125" s="6"/>
      <c r="U125" s="6"/>
      <c r="V125" s="6"/>
      <c r="X125" s="6"/>
      <c r="Z125" s="6"/>
      <c r="AB125" s="6"/>
      <c r="AD125" s="6"/>
      <c r="BJ125" s="6"/>
      <c r="BL125" s="6"/>
      <c r="BM125" s="6"/>
      <c r="BO125" s="6"/>
      <c r="BP125" s="6"/>
      <c r="BQ125" s="6"/>
      <c r="BW125" s="6"/>
    </row>
    <row r="126" spans="1:75">
      <c r="A126" s="17"/>
      <c r="B126" s="11" t="s">
        <v>207</v>
      </c>
      <c r="E126" s="4"/>
      <c r="G126" s="4"/>
      <c r="I126" s="4"/>
      <c r="J126" s="5" t="s">
        <v>0</v>
      </c>
      <c r="L126" s="132" t="s">
        <v>202</v>
      </c>
      <c r="M126" s="6"/>
      <c r="N126" s="6">
        <v>0</v>
      </c>
      <c r="O126" s="6"/>
      <c r="P126" s="6">
        <v>0</v>
      </c>
      <c r="Q126" s="6"/>
      <c r="R126" s="6">
        <v>42500</v>
      </c>
      <c r="S126" s="6"/>
      <c r="T126" s="6">
        <v>0</v>
      </c>
      <c r="U126" s="6"/>
      <c r="V126" s="6">
        <v>0</v>
      </c>
      <c r="X126" s="6">
        <v>15000</v>
      </c>
      <c r="Z126" s="6">
        <v>10000</v>
      </c>
      <c r="AB126" s="6">
        <v>10000</v>
      </c>
      <c r="AD126" s="6">
        <v>7500</v>
      </c>
      <c r="AF126" s="6">
        <v>0</v>
      </c>
      <c r="AH126" s="6">
        <v>0</v>
      </c>
      <c r="AJ126" s="6">
        <v>0</v>
      </c>
      <c r="AL126" s="6">
        <v>0</v>
      </c>
      <c r="AN126" s="6">
        <v>0</v>
      </c>
      <c r="AP126" s="6">
        <v>0</v>
      </c>
      <c r="AR126" s="6">
        <v>0</v>
      </c>
      <c r="AT126" s="6">
        <v>1500</v>
      </c>
      <c r="AV126" s="6">
        <v>15000</v>
      </c>
      <c r="AX126" s="6">
        <v>3220.61</v>
      </c>
      <c r="AZ126" s="6">
        <v>7500</v>
      </c>
      <c r="BB126" s="6">
        <v>5700</v>
      </c>
      <c r="BD126" s="6">
        <v>0</v>
      </c>
      <c r="BF126" s="6">
        <v>0</v>
      </c>
      <c r="BH126" s="6">
        <v>0</v>
      </c>
      <c r="BJ126" s="6">
        <v>0</v>
      </c>
      <c r="BL126" s="6">
        <v>0</v>
      </c>
      <c r="BM126" s="6"/>
      <c r="BN126" s="6">
        <f>SUM(T126:BM126)</f>
        <v>75420.61</v>
      </c>
      <c r="BO126" s="6"/>
      <c r="BP126" s="6">
        <v>1000</v>
      </c>
      <c r="BQ126" s="6"/>
      <c r="BR126" s="6">
        <f>IF(+R126-BN126+BP126&gt;0,R126-BN126+BP126,0)</f>
        <v>0</v>
      </c>
      <c r="BT126" s="6">
        <f>+BN126+BR126</f>
        <v>75420.61</v>
      </c>
      <c r="BV126" s="6">
        <f>+R126-BT126</f>
        <v>-32920.61</v>
      </c>
      <c r="BW126" s="6"/>
    </row>
    <row r="127" spans="1:75">
      <c r="A127" s="17"/>
      <c r="B127" s="11" t="s">
        <v>208</v>
      </c>
      <c r="E127" s="4"/>
      <c r="G127" s="4"/>
      <c r="I127" s="4"/>
      <c r="J127" s="5" t="s">
        <v>0</v>
      </c>
      <c r="L127" s="132" t="s">
        <v>202</v>
      </c>
      <c r="M127" s="6"/>
      <c r="O127" s="6"/>
      <c r="Q127" s="6"/>
      <c r="R127" s="6">
        <v>0</v>
      </c>
      <c r="S127" s="6"/>
      <c r="T127" s="6">
        <v>0</v>
      </c>
      <c r="U127" s="6"/>
      <c r="V127" s="6">
        <v>0</v>
      </c>
      <c r="X127" s="6">
        <v>0</v>
      </c>
      <c r="Z127" s="6">
        <v>0</v>
      </c>
      <c r="AB127" s="6">
        <v>0</v>
      </c>
      <c r="AD127" s="6">
        <v>0</v>
      </c>
      <c r="AF127" s="6">
        <v>0</v>
      </c>
      <c r="AH127" s="6">
        <v>0</v>
      </c>
      <c r="AJ127" s="6">
        <v>0</v>
      </c>
      <c r="AL127" s="6">
        <v>0</v>
      </c>
      <c r="AN127" s="6">
        <v>0</v>
      </c>
      <c r="AP127" s="6">
        <v>0</v>
      </c>
      <c r="AR127" s="6">
        <v>0</v>
      </c>
      <c r="AT127" s="6">
        <v>0</v>
      </c>
      <c r="AV127" s="6">
        <v>0</v>
      </c>
      <c r="AX127" s="6">
        <v>0</v>
      </c>
      <c r="AZ127" s="6">
        <v>0</v>
      </c>
      <c r="BB127" s="6">
        <v>0</v>
      </c>
      <c r="BD127" s="6">
        <v>0</v>
      </c>
      <c r="BF127" s="6">
        <v>0</v>
      </c>
      <c r="BH127" s="6">
        <v>0</v>
      </c>
      <c r="BJ127" s="6">
        <v>0</v>
      </c>
      <c r="BL127" s="6">
        <v>0</v>
      </c>
      <c r="BM127" s="6"/>
      <c r="BN127" s="6">
        <f>SUM(T127:BM127)</f>
        <v>0</v>
      </c>
      <c r="BO127" s="6"/>
      <c r="BP127" s="6">
        <v>0</v>
      </c>
      <c r="BQ127" s="6"/>
      <c r="BR127" s="6">
        <f>IF(+R127-BN127+BP127&gt;0,R127-BN127+BP127,0)</f>
        <v>0</v>
      </c>
      <c r="BT127" s="6">
        <f>+BN127+BR127</f>
        <v>0</v>
      </c>
      <c r="BV127" s="6">
        <f>+R127-BT127</f>
        <v>0</v>
      </c>
      <c r="BW127" s="6"/>
    </row>
    <row r="128" spans="1:75">
      <c r="A128" s="17"/>
      <c r="B128" s="11" t="s">
        <v>209</v>
      </c>
      <c r="E128" s="4"/>
      <c r="G128" s="4"/>
      <c r="I128" s="4"/>
      <c r="J128" s="5" t="s">
        <v>0</v>
      </c>
      <c r="L128" s="132" t="s">
        <v>202</v>
      </c>
      <c r="M128" s="6"/>
      <c r="O128" s="6"/>
      <c r="Q128" s="6"/>
      <c r="R128" s="6">
        <f>770000-42500</f>
        <v>727500</v>
      </c>
      <c r="S128" s="6"/>
      <c r="T128" s="6">
        <v>0</v>
      </c>
      <c r="U128" s="6"/>
      <c r="V128" s="6">
        <v>0</v>
      </c>
      <c r="X128" s="6">
        <v>0</v>
      </c>
      <c r="Z128" s="6">
        <v>0</v>
      </c>
      <c r="AB128" s="6"/>
      <c r="AD128" s="6">
        <v>0</v>
      </c>
      <c r="AF128" s="6">
        <v>0</v>
      </c>
      <c r="AH128" s="6">
        <v>0</v>
      </c>
      <c r="AJ128" s="6">
        <v>0</v>
      </c>
      <c r="AL128" s="6">
        <f>101925+797359.26+33000</f>
        <v>932284.26</v>
      </c>
      <c r="AN128" s="6">
        <f>127995.16+664.44</f>
        <v>128659.6</v>
      </c>
      <c r="AP128" s="6">
        <v>8500</v>
      </c>
      <c r="AR128" s="6">
        <v>5000</v>
      </c>
      <c r="AT128" s="6">
        <v>257825</v>
      </c>
      <c r="AV128" s="6">
        <f>498821.1+2500</f>
        <v>501321.1</v>
      </c>
      <c r="AX128" s="6">
        <v>-25183</v>
      </c>
      <c r="AZ128" s="6">
        <v>28975</v>
      </c>
      <c r="BB128" s="6">
        <v>0</v>
      </c>
      <c r="BD128" s="6">
        <v>0</v>
      </c>
      <c r="BF128" s="6">
        <v>0</v>
      </c>
      <c r="BH128" s="6">
        <v>0</v>
      </c>
      <c r="BJ128" s="6">
        <v>23213</v>
      </c>
      <c r="BL128" s="6">
        <v>230000</v>
      </c>
      <c r="BM128" s="6"/>
      <c r="BN128" s="6">
        <f>SUM(T128:BM128)</f>
        <v>2090594.96</v>
      </c>
      <c r="BO128" s="6"/>
      <c r="BP128" s="6">
        <f>341944+23213</f>
        <v>365157</v>
      </c>
      <c r="BQ128" s="6"/>
      <c r="BR128" s="6">
        <f>IF(+R128-BN128+BP128&gt;0,R128-BN128+BP128,0)</f>
        <v>0</v>
      </c>
      <c r="BT128" s="6">
        <f>+BN128+BR128</f>
        <v>2090594.96</v>
      </c>
      <c r="BV128" s="6">
        <f>+R128-BT128</f>
        <v>-1363094.96</v>
      </c>
      <c r="BW128" s="6"/>
    </row>
    <row r="129" spans="1:75">
      <c r="A129" s="17"/>
      <c r="B129" s="11" t="s">
        <v>210</v>
      </c>
      <c r="E129" s="4"/>
      <c r="G129" s="4"/>
      <c r="I129" s="4"/>
      <c r="J129" s="5" t="s">
        <v>0</v>
      </c>
      <c r="L129" s="132" t="s">
        <v>202</v>
      </c>
      <c r="M129" s="6"/>
      <c r="O129" s="6"/>
      <c r="Q129" s="6"/>
      <c r="R129" s="6">
        <v>0</v>
      </c>
      <c r="S129" s="6"/>
      <c r="T129" s="6"/>
      <c r="U129" s="6"/>
      <c r="V129" s="6"/>
      <c r="X129" s="6"/>
      <c r="Z129" s="6"/>
      <c r="AB129" s="6"/>
      <c r="AD129" s="6"/>
      <c r="BJ129" s="6"/>
      <c r="BL129" s="6"/>
      <c r="BM129" s="6"/>
      <c r="BO129" s="6"/>
      <c r="BP129" s="6"/>
      <c r="BQ129" s="6"/>
      <c r="BR129" s="6">
        <f>IF(+R129-BN129+BP129&gt;0,R129-BN129+BP129,0)</f>
        <v>0</v>
      </c>
      <c r="BT129" s="6">
        <f>+BN129+BR129</f>
        <v>0</v>
      </c>
      <c r="BV129" s="6">
        <f>+R129-BT129</f>
        <v>0</v>
      </c>
      <c r="BW129" s="6"/>
    </row>
    <row r="130" spans="1:75" s="21" customFormat="1">
      <c r="A130" s="58"/>
      <c r="B130" s="31" t="s">
        <v>182</v>
      </c>
      <c r="J130" s="8"/>
      <c r="L130" s="141"/>
      <c r="M130" s="9"/>
      <c r="N130" s="102">
        <f>SUM(N126:N129)</f>
        <v>0</v>
      </c>
      <c r="O130" s="9"/>
      <c r="P130" s="102">
        <f>SUM(P126:P129)</f>
        <v>0</v>
      </c>
      <c r="Q130" s="9"/>
      <c r="R130" s="102">
        <f>SUM(R126:R129)</f>
        <v>770000</v>
      </c>
      <c r="S130" s="9"/>
      <c r="T130" s="102">
        <f>SUM(T126:T129)</f>
        <v>0</v>
      </c>
      <c r="U130" s="9"/>
      <c r="V130" s="102">
        <f>SUM(V126:V129)</f>
        <v>0</v>
      </c>
      <c r="W130" s="9"/>
      <c r="X130" s="102">
        <f>SUM(X126:X129)</f>
        <v>15000</v>
      </c>
      <c r="Y130" s="9"/>
      <c r="Z130" s="102">
        <f>SUM(Z126:Z129)</f>
        <v>10000</v>
      </c>
      <c r="AA130" s="9"/>
      <c r="AB130" s="102">
        <f>SUM(AB126:AB129)</f>
        <v>10000</v>
      </c>
      <c r="AC130" s="9"/>
      <c r="AD130" s="102">
        <f>SUM(AD126:AD129)</f>
        <v>7500</v>
      </c>
      <c r="AE130" s="9"/>
      <c r="AF130" s="102">
        <f>SUM(AF126:AF129)</f>
        <v>0</v>
      </c>
      <c r="AG130" s="9"/>
      <c r="AH130" s="102">
        <f>SUM(AH126:AH129)</f>
        <v>0</v>
      </c>
      <c r="AI130" s="9"/>
      <c r="AJ130" s="102">
        <f>SUM(AJ126:AJ129)</f>
        <v>0</v>
      </c>
      <c r="AK130" s="9"/>
      <c r="AL130" s="102">
        <f>SUM(AL126:AL129)</f>
        <v>932284.26</v>
      </c>
      <c r="AM130" s="9"/>
      <c r="AN130" s="102">
        <f>SUM(AN126:AN129)</f>
        <v>128659.6</v>
      </c>
      <c r="AO130" s="9"/>
      <c r="AP130" s="102">
        <f>SUM(AP126:AP129)</f>
        <v>8500</v>
      </c>
      <c r="AQ130" s="9"/>
      <c r="AR130" s="102">
        <f>SUM(AR126:AR129)</f>
        <v>5000</v>
      </c>
      <c r="AS130" s="9"/>
      <c r="AT130" s="102">
        <f>SUM(AT126:AT129)</f>
        <v>259325</v>
      </c>
      <c r="AU130" s="10"/>
      <c r="AV130" s="102">
        <f>SUM(AV126:AV129)</f>
        <v>516321.1</v>
      </c>
      <c r="AW130" s="10"/>
      <c r="AX130" s="102">
        <f>SUM(AX126:AX129)</f>
        <v>-21962.39</v>
      </c>
      <c r="AY130" s="10"/>
      <c r="AZ130" s="102">
        <f>SUM(AZ126:AZ129)</f>
        <v>36475</v>
      </c>
      <c r="BA130" s="10"/>
      <c r="BB130" s="102">
        <f>SUM(BB126:BB129)</f>
        <v>5700</v>
      </c>
      <c r="BC130" s="10"/>
      <c r="BD130" s="102">
        <f>SUM(BD126:BD129)</f>
        <v>0</v>
      </c>
      <c r="BE130" s="10"/>
      <c r="BF130" s="102">
        <f>SUM(BF126:BF129)</f>
        <v>0</v>
      </c>
      <c r="BG130" s="10"/>
      <c r="BH130" s="102">
        <f>SUM(BH126:BH129)</f>
        <v>0</v>
      </c>
      <c r="BI130" s="10"/>
      <c r="BJ130" s="102">
        <f>SUM(BJ126:BJ129)</f>
        <v>23213</v>
      </c>
      <c r="BK130" s="10"/>
      <c r="BL130" s="102">
        <f>SUM(BL126:BL129)</f>
        <v>230000</v>
      </c>
      <c r="BM130" s="9"/>
      <c r="BN130" s="102">
        <f>SUM(BN126:BN129)</f>
        <v>2166015.5699999998</v>
      </c>
      <c r="BO130" s="9"/>
      <c r="BP130" s="102">
        <f>SUM(BP126:BP129)</f>
        <v>366157</v>
      </c>
      <c r="BQ130" s="9"/>
      <c r="BR130" s="102">
        <f>SUM(BR126:BR129)</f>
        <v>0</v>
      </c>
      <c r="BS130" s="9"/>
      <c r="BT130" s="102">
        <f>SUM(BT126:BT129)</f>
        <v>2166015.5699999998</v>
      </c>
      <c r="BU130" s="9"/>
      <c r="BV130" s="102">
        <f>SUM(BV126:BV129)</f>
        <v>-1396015.57</v>
      </c>
      <c r="BW130" s="9"/>
    </row>
    <row r="131" spans="1:75" s="21" customFormat="1">
      <c r="A131" s="58"/>
      <c r="B131" s="31"/>
      <c r="J131" s="8"/>
      <c r="L131" s="132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  <c r="AP131" s="9"/>
      <c r="AQ131" s="9"/>
      <c r="AR131" s="9"/>
      <c r="AS131" s="9"/>
      <c r="AT131" s="9"/>
      <c r="AU131" s="9"/>
      <c r="AV131" s="9"/>
      <c r="AW131" s="9"/>
      <c r="AX131" s="9"/>
      <c r="AY131" s="9"/>
      <c r="AZ131" s="9"/>
      <c r="BA131" s="9"/>
      <c r="BB131" s="9"/>
      <c r="BC131" s="9"/>
      <c r="BD131" s="9"/>
      <c r="BE131" s="9"/>
      <c r="BF131" s="9"/>
      <c r="BG131" s="9"/>
      <c r="BH131" s="9"/>
      <c r="BI131" s="9"/>
      <c r="BJ131" s="9"/>
      <c r="BK131" s="9"/>
      <c r="BL131" s="9"/>
      <c r="BM131" s="9"/>
      <c r="BN131" s="9"/>
      <c r="BO131" s="9"/>
      <c r="BP131" s="9"/>
      <c r="BQ131" s="9"/>
      <c r="BR131" s="9"/>
      <c r="BS131" s="9"/>
      <c r="BT131" s="9"/>
      <c r="BU131" s="9"/>
      <c r="BV131" s="9"/>
      <c r="BW131" s="9"/>
    </row>
    <row r="132" spans="1:75">
      <c r="A132" s="58" t="s">
        <v>28</v>
      </c>
      <c r="B132" s="11"/>
      <c r="C132"/>
      <c r="D132"/>
      <c r="E132"/>
      <c r="F132"/>
      <c r="G132"/>
      <c r="H132"/>
      <c r="I132"/>
      <c r="J132" s="49"/>
      <c r="K132"/>
      <c r="L132" s="132"/>
      <c r="M132" s="6"/>
      <c r="O132" s="6"/>
      <c r="Q132" s="6"/>
      <c r="S132" s="6"/>
      <c r="T132" s="6"/>
      <c r="U132" s="6"/>
      <c r="V132" s="6"/>
      <c r="X132" s="6"/>
      <c r="Z132" s="6"/>
      <c r="AB132" s="6"/>
      <c r="AD132" s="6"/>
      <c r="BJ132" s="6"/>
      <c r="BL132" s="6"/>
      <c r="BM132" s="6"/>
      <c r="BO132" s="6"/>
      <c r="BP132" s="6"/>
      <c r="BQ132" s="6"/>
      <c r="BW132" s="6"/>
    </row>
    <row r="133" spans="1:75">
      <c r="A133" s="58"/>
      <c r="B133" s="11" t="s">
        <v>260</v>
      </c>
      <c r="C133"/>
      <c r="D133"/>
      <c r="E133"/>
      <c r="F133"/>
      <c r="G133"/>
      <c r="H133"/>
      <c r="I133"/>
      <c r="J133" s="49"/>
      <c r="K133"/>
      <c r="L133" s="132" t="s">
        <v>203</v>
      </c>
      <c r="M133" s="6"/>
      <c r="N133" s="6">
        <v>0</v>
      </c>
      <c r="O133" s="6"/>
      <c r="P133" s="6">
        <v>0</v>
      </c>
      <c r="Q133" s="6"/>
      <c r="S133" s="6"/>
      <c r="T133" s="6">
        <v>0</v>
      </c>
      <c r="U133" s="6"/>
      <c r="V133" s="6">
        <v>0</v>
      </c>
      <c r="X133" s="6">
        <v>0</v>
      </c>
      <c r="Z133" s="6">
        <v>0</v>
      </c>
      <c r="AB133" s="6">
        <v>0</v>
      </c>
      <c r="AD133" s="6"/>
      <c r="AF133" s="6">
        <v>0</v>
      </c>
      <c r="AH133" s="6">
        <v>0</v>
      </c>
      <c r="AJ133" s="6">
        <v>0</v>
      </c>
      <c r="AL133" s="6">
        <v>0</v>
      </c>
      <c r="AN133" s="6">
        <v>0</v>
      </c>
      <c r="AP133" s="6">
        <v>0</v>
      </c>
      <c r="AR133" s="6">
        <v>0</v>
      </c>
      <c r="AT133" s="6">
        <v>0</v>
      </c>
      <c r="AV133" s="6">
        <v>0</v>
      </c>
      <c r="AX133" s="6">
        <v>0</v>
      </c>
      <c r="AZ133" s="6">
        <v>0</v>
      </c>
      <c r="BB133" s="6">
        <v>0</v>
      </c>
      <c r="BD133" s="6">
        <v>0</v>
      </c>
      <c r="BF133" s="6">
        <v>0</v>
      </c>
      <c r="BH133" s="6">
        <v>0</v>
      </c>
      <c r="BJ133" s="6">
        <v>0</v>
      </c>
      <c r="BL133" s="6">
        <v>0</v>
      </c>
      <c r="BM133" s="6"/>
      <c r="BN133" s="6">
        <f>SUM(T133:BM133)</f>
        <v>0</v>
      </c>
      <c r="BO133" s="6"/>
      <c r="BP133" s="6">
        <v>0</v>
      </c>
      <c r="BQ133" s="6"/>
      <c r="BR133" s="6">
        <f>IF(+R133-BN133+BP133&gt;0,R133-BN133+BP133,0)</f>
        <v>0</v>
      </c>
      <c r="BT133" s="6">
        <f>+BN133+BR133</f>
        <v>0</v>
      </c>
      <c r="BV133" s="6">
        <f>+R133-BT133</f>
        <v>0</v>
      </c>
      <c r="BW133" s="6"/>
    </row>
    <row r="134" spans="1:75">
      <c r="A134" s="100"/>
      <c r="B134" s="17" t="s">
        <v>261</v>
      </c>
      <c r="C134"/>
      <c r="D134"/>
      <c r="E134"/>
      <c r="F134"/>
      <c r="G134"/>
      <c r="H134"/>
      <c r="I134"/>
      <c r="J134" s="49"/>
      <c r="K134"/>
      <c r="L134" s="132" t="s">
        <v>203</v>
      </c>
      <c r="M134" s="6"/>
      <c r="N134" s="6">
        <v>0</v>
      </c>
      <c r="O134" s="6"/>
      <c r="P134" s="6">
        <v>0</v>
      </c>
      <c r="Q134" s="6"/>
      <c r="S134" s="6"/>
      <c r="T134" s="6">
        <v>0</v>
      </c>
      <c r="U134" s="6"/>
      <c r="V134" s="6">
        <v>0</v>
      </c>
      <c r="X134" s="6">
        <v>0</v>
      </c>
      <c r="Z134" s="6">
        <v>0</v>
      </c>
      <c r="AB134" s="6">
        <v>0</v>
      </c>
      <c r="AD134" s="6"/>
      <c r="AF134" s="6">
        <v>0</v>
      </c>
      <c r="AH134" s="6">
        <v>0</v>
      </c>
      <c r="AJ134" s="6">
        <v>0</v>
      </c>
      <c r="AL134" s="6">
        <v>0</v>
      </c>
      <c r="AN134" s="6">
        <v>0</v>
      </c>
      <c r="AP134" s="6">
        <v>0</v>
      </c>
      <c r="AR134" s="6">
        <v>0</v>
      </c>
      <c r="AT134" s="6">
        <v>0</v>
      </c>
      <c r="AV134" s="6">
        <v>0</v>
      </c>
      <c r="AX134" s="6">
        <v>0</v>
      </c>
      <c r="AZ134" s="6">
        <v>0</v>
      </c>
      <c r="BB134" s="6">
        <v>0</v>
      </c>
      <c r="BD134" s="6">
        <v>0</v>
      </c>
      <c r="BF134" s="6">
        <v>0</v>
      </c>
      <c r="BH134" s="6">
        <v>0</v>
      </c>
      <c r="BJ134" s="6">
        <v>0</v>
      </c>
      <c r="BL134" s="6">
        <v>0</v>
      </c>
      <c r="BM134" s="6"/>
      <c r="BN134" s="6">
        <f>SUM(T134:BM134)</f>
        <v>0</v>
      </c>
      <c r="BO134" s="6"/>
      <c r="BP134" s="6">
        <v>0</v>
      </c>
      <c r="BQ134" s="6"/>
      <c r="BR134" s="6">
        <f>IF(+R134-BN134+BP134&gt;0,R134-BN134+BP134,0)</f>
        <v>0</v>
      </c>
      <c r="BT134" s="6">
        <f>+BN134+BR134</f>
        <v>0</v>
      </c>
      <c r="BV134" s="6">
        <f>+R134-BT134</f>
        <v>0</v>
      </c>
      <c r="BW134" s="6"/>
    </row>
    <row r="135" spans="1:75">
      <c r="A135" s="100"/>
      <c r="B135" s="17" t="s">
        <v>262</v>
      </c>
      <c r="C135"/>
      <c r="D135"/>
      <c r="E135"/>
      <c r="F135"/>
      <c r="G135"/>
      <c r="H135"/>
      <c r="I135"/>
      <c r="J135" s="49"/>
      <c r="K135"/>
      <c r="L135" s="132" t="s">
        <v>203</v>
      </c>
      <c r="M135" s="6"/>
      <c r="O135" s="6"/>
      <c r="P135" s="6">
        <v>0</v>
      </c>
      <c r="Q135" s="6"/>
      <c r="R135" s="6">
        <v>450000</v>
      </c>
      <c r="S135" s="6"/>
      <c r="T135" s="6">
        <v>0</v>
      </c>
      <c r="U135" s="6"/>
      <c r="V135" s="6">
        <v>0</v>
      </c>
      <c r="X135" s="6">
        <v>0</v>
      </c>
      <c r="Z135" s="6">
        <f>17200+23635.1+13005.59</f>
        <v>53840.69</v>
      </c>
      <c r="AB135" s="6">
        <f>60240.81+22098.49</f>
        <v>82339.3</v>
      </c>
      <c r="AD135" s="6">
        <v>9930.43</v>
      </c>
      <c r="AF135" s="6">
        <v>32110.799999999999</v>
      </c>
      <c r="AH135" s="6">
        <v>22234</v>
      </c>
      <c r="AJ135" s="6">
        <v>64176.31</v>
      </c>
      <c r="AL135" s="6">
        <v>27327.91</v>
      </c>
      <c r="AN135" s="6">
        <v>8595.51</v>
      </c>
      <c r="AP135" s="6">
        <v>47810.12</v>
      </c>
      <c r="AR135" s="6">
        <f>1812+9493.06</f>
        <v>11305.06</v>
      </c>
      <c r="AT135" s="6">
        <v>28715.83</v>
      </c>
      <c r="AV135" s="6">
        <v>31364.26</v>
      </c>
      <c r="AX135" s="6">
        <v>9815.23</v>
      </c>
      <c r="AZ135" s="6">
        <v>0</v>
      </c>
      <c r="BB135" s="6">
        <v>2925.2</v>
      </c>
      <c r="BD135" s="6">
        <v>16444.66</v>
      </c>
      <c r="BF135" s="6">
        <v>12076.23</v>
      </c>
      <c r="BH135" s="6">
        <f>2692.67+855.07</f>
        <v>3547.7400000000002</v>
      </c>
      <c r="BJ135" s="6">
        <v>8057</v>
      </c>
      <c r="BL135" s="6"/>
      <c r="BM135" s="6"/>
      <c r="BN135" s="6">
        <f>SUM(T135:BM135)</f>
        <v>472616.27999999991</v>
      </c>
      <c r="BO135" s="6"/>
      <c r="BP135" s="6">
        <v>0</v>
      </c>
      <c r="BQ135" s="6"/>
      <c r="BR135" s="6">
        <f>IF(+R135-BN135+BP135&gt;0,R135-BN135+BP135,0)</f>
        <v>0</v>
      </c>
      <c r="BT135" s="6">
        <f>+BN135+BR135</f>
        <v>472616.27999999991</v>
      </c>
      <c r="BV135" s="6">
        <f>+R135-BT135</f>
        <v>-22616.279999999912</v>
      </c>
      <c r="BW135" s="6"/>
    </row>
    <row r="136" spans="1:75">
      <c r="A136" s="100"/>
      <c r="B136" s="17"/>
      <c r="C136"/>
      <c r="D136"/>
      <c r="E136"/>
      <c r="F136"/>
      <c r="G136"/>
      <c r="H136"/>
      <c r="I136"/>
      <c r="J136" s="49"/>
      <c r="K136"/>
      <c r="L136" s="132"/>
      <c r="M136" s="6"/>
      <c r="O136" s="6"/>
      <c r="Q136" s="6"/>
      <c r="S136" s="6"/>
      <c r="T136" s="6"/>
      <c r="U136" s="6"/>
      <c r="V136" s="6"/>
      <c r="X136" s="6"/>
      <c r="Z136" s="6"/>
      <c r="AB136" s="6"/>
      <c r="AD136" s="6"/>
      <c r="BJ136" s="6"/>
      <c r="BL136" s="6"/>
      <c r="BM136" s="6"/>
      <c r="BO136" s="6"/>
      <c r="BP136" s="6"/>
      <c r="BQ136" s="6"/>
      <c r="BW136" s="6"/>
    </row>
    <row r="137" spans="1:75" s="21" customFormat="1">
      <c r="A137" s="283"/>
      <c r="B137" s="58" t="s">
        <v>183</v>
      </c>
      <c r="J137" s="8"/>
      <c r="L137" s="141"/>
      <c r="M137" s="9"/>
      <c r="N137" s="102">
        <f>SUM(N133:N136)</f>
        <v>0</v>
      </c>
      <c r="O137" s="9"/>
      <c r="P137" s="102">
        <f>SUM(P133:P136)</f>
        <v>0</v>
      </c>
      <c r="Q137" s="9"/>
      <c r="R137" s="102">
        <f>SUM(R133:R136)</f>
        <v>450000</v>
      </c>
      <c r="S137" s="9"/>
      <c r="T137" s="102">
        <f>SUM(T133:T136)</f>
        <v>0</v>
      </c>
      <c r="U137" s="9"/>
      <c r="V137" s="102">
        <f>SUM(V133:V136)</f>
        <v>0</v>
      </c>
      <c r="W137" s="9"/>
      <c r="X137" s="102">
        <f>SUM(X133:X136)</f>
        <v>0</v>
      </c>
      <c r="Y137" s="9"/>
      <c r="Z137" s="102">
        <f>SUM(Z133:Z136)</f>
        <v>53840.69</v>
      </c>
      <c r="AA137" s="9"/>
      <c r="AB137" s="102">
        <f>SUM(AB133:AB136)</f>
        <v>82339.3</v>
      </c>
      <c r="AC137" s="9"/>
      <c r="AD137" s="102">
        <f>SUM(AD133:AD136)</f>
        <v>9930.43</v>
      </c>
      <c r="AE137" s="9"/>
      <c r="AF137" s="102">
        <f>SUM(AF133:AF136)</f>
        <v>32110.799999999999</v>
      </c>
      <c r="AG137" s="9"/>
      <c r="AH137" s="102">
        <f>SUM(AH133:AH136)</f>
        <v>22234</v>
      </c>
      <c r="AI137" s="9"/>
      <c r="AJ137" s="102">
        <f>SUM(AJ133:AJ136)</f>
        <v>64176.31</v>
      </c>
      <c r="AK137" s="9"/>
      <c r="AL137" s="102">
        <f>SUM(AL133:AL136)</f>
        <v>27327.91</v>
      </c>
      <c r="AM137" s="9"/>
      <c r="AN137" s="102">
        <f>SUM(AN133:AN136)</f>
        <v>8595.51</v>
      </c>
      <c r="AO137" s="9"/>
      <c r="AP137" s="102">
        <f>SUM(AP133:AP136)</f>
        <v>47810.12</v>
      </c>
      <c r="AQ137" s="9"/>
      <c r="AR137" s="102">
        <f>SUM(AR133:AR136)</f>
        <v>11305.06</v>
      </c>
      <c r="AS137" s="9"/>
      <c r="AT137" s="102">
        <f>SUM(AT133:AT136)</f>
        <v>28715.83</v>
      </c>
      <c r="AU137" s="10"/>
      <c r="AV137" s="102">
        <f>SUM(AV133:AV136)</f>
        <v>31364.26</v>
      </c>
      <c r="AW137" s="10"/>
      <c r="AX137" s="102">
        <f>SUM(AX133:AX136)</f>
        <v>9815.23</v>
      </c>
      <c r="AY137" s="10"/>
      <c r="AZ137" s="102">
        <f>SUM(AZ133:AZ136)</f>
        <v>0</v>
      </c>
      <c r="BA137" s="10"/>
      <c r="BB137" s="102">
        <f>SUM(BB133:BB136)</f>
        <v>2925.2</v>
      </c>
      <c r="BC137" s="10"/>
      <c r="BD137" s="102">
        <f>SUM(BD133:BD136)</f>
        <v>16444.66</v>
      </c>
      <c r="BE137" s="10"/>
      <c r="BF137" s="102">
        <f>SUM(BF133:BF136)</f>
        <v>12076.23</v>
      </c>
      <c r="BG137" s="10"/>
      <c r="BH137" s="102">
        <f>SUM(BH133:BH136)</f>
        <v>3547.7400000000002</v>
      </c>
      <c r="BI137" s="10"/>
      <c r="BJ137" s="102">
        <f>SUM(BJ133:BJ136)</f>
        <v>8057</v>
      </c>
      <c r="BK137" s="10"/>
      <c r="BL137" s="102">
        <f>SUM(BL133:BL136)</f>
        <v>0</v>
      </c>
      <c r="BM137" s="9"/>
      <c r="BN137" s="102">
        <f>SUM(BN133:BN136)</f>
        <v>472616.27999999991</v>
      </c>
      <c r="BO137" s="9"/>
      <c r="BP137" s="102">
        <f>SUM(BP133:BP136)</f>
        <v>0</v>
      </c>
      <c r="BQ137" s="9"/>
      <c r="BR137" s="102">
        <f>SUM(BR133:BR136)</f>
        <v>0</v>
      </c>
      <c r="BS137" s="9"/>
      <c r="BT137" s="102">
        <f>SUM(BT133:BT136)</f>
        <v>472616.27999999991</v>
      </c>
      <c r="BU137" s="9"/>
      <c r="BV137" s="102">
        <f>SUM(BV133:BV136)</f>
        <v>-22616.279999999912</v>
      </c>
      <c r="BW137" s="9"/>
    </row>
    <row r="138" spans="1:75" s="21" customFormat="1">
      <c r="A138" s="283"/>
      <c r="B138" s="58"/>
      <c r="J138" s="8"/>
      <c r="L138" s="141"/>
      <c r="M138" s="9"/>
      <c r="N138" s="10"/>
      <c r="O138" s="9"/>
      <c r="P138" s="10"/>
      <c r="Q138" s="9"/>
      <c r="R138" s="10"/>
      <c r="S138" s="9"/>
      <c r="T138" s="10"/>
      <c r="U138" s="9"/>
      <c r="V138" s="10"/>
      <c r="W138" s="9"/>
      <c r="X138" s="10"/>
      <c r="Y138" s="9"/>
      <c r="Z138" s="10"/>
      <c r="AA138" s="9"/>
      <c r="AB138" s="10"/>
      <c r="AC138" s="9"/>
      <c r="AD138" s="10"/>
      <c r="AE138" s="9"/>
      <c r="AF138" s="10"/>
      <c r="AG138" s="9"/>
      <c r="AH138" s="10"/>
      <c r="AI138" s="9"/>
      <c r="AJ138" s="10"/>
      <c r="AK138" s="9"/>
      <c r="AL138" s="10"/>
      <c r="AM138" s="9"/>
      <c r="AN138" s="10"/>
      <c r="AO138" s="9"/>
      <c r="AP138" s="10"/>
      <c r="AQ138" s="9"/>
      <c r="AR138" s="10"/>
      <c r="AS138" s="9"/>
      <c r="AT138" s="10"/>
      <c r="AU138" s="10"/>
      <c r="AV138" s="10"/>
      <c r="AW138" s="10"/>
      <c r="AX138" s="10"/>
      <c r="AY138" s="10"/>
      <c r="AZ138" s="10"/>
      <c r="BA138" s="10"/>
      <c r="BB138" s="10"/>
      <c r="BC138" s="10"/>
      <c r="BD138" s="10"/>
      <c r="BE138" s="10"/>
      <c r="BF138" s="10"/>
      <c r="BG138" s="10"/>
      <c r="BH138" s="10"/>
      <c r="BI138" s="10"/>
      <c r="BJ138" s="10"/>
      <c r="BK138" s="10"/>
      <c r="BL138" s="10"/>
      <c r="BM138" s="9"/>
      <c r="BN138" s="10"/>
      <c r="BO138" s="9"/>
      <c r="BP138" s="10"/>
      <c r="BQ138" s="9"/>
      <c r="BR138" s="10"/>
      <c r="BS138" s="9"/>
      <c r="BT138" s="10"/>
      <c r="BU138" s="9"/>
      <c r="BV138" s="10"/>
      <c r="BW138" s="9"/>
    </row>
    <row r="139" spans="1:75" s="21" customFormat="1">
      <c r="A139" s="58" t="s">
        <v>274</v>
      </c>
      <c r="B139" s="31"/>
      <c r="J139" s="8" t="s">
        <v>0</v>
      </c>
      <c r="L139" s="132" t="s">
        <v>202</v>
      </c>
      <c r="M139" s="9"/>
      <c r="N139" s="9">
        <v>0</v>
      </c>
      <c r="O139" s="9"/>
      <c r="P139" s="9">
        <v>0</v>
      </c>
      <c r="Q139" s="9"/>
      <c r="R139" s="9">
        <v>5000000</v>
      </c>
      <c r="S139" s="9"/>
      <c r="T139" s="9">
        <v>0</v>
      </c>
      <c r="U139" s="9"/>
      <c r="V139" s="9">
        <v>0</v>
      </c>
      <c r="W139" s="9"/>
      <c r="X139" s="9">
        <v>0</v>
      </c>
      <c r="Y139" s="9"/>
      <c r="Z139" s="9">
        <v>0</v>
      </c>
      <c r="AA139" s="9"/>
      <c r="AB139" s="9">
        <v>0</v>
      </c>
      <c r="AC139" s="9"/>
      <c r="AD139" s="9">
        <v>0</v>
      </c>
      <c r="AE139" s="9"/>
      <c r="AF139" s="9">
        <v>0</v>
      </c>
      <c r="AG139" s="9"/>
      <c r="AH139" s="9">
        <v>0</v>
      </c>
      <c r="AI139" s="9"/>
      <c r="AJ139" s="9">
        <v>0</v>
      </c>
      <c r="AK139" s="9"/>
      <c r="AL139" s="9">
        <v>10000</v>
      </c>
      <c r="AM139" s="9"/>
      <c r="AN139" s="9">
        <v>0</v>
      </c>
      <c r="AO139" s="9"/>
      <c r="AP139" s="9">
        <v>0</v>
      </c>
      <c r="AQ139" s="9"/>
      <c r="AR139" s="9">
        <v>15000</v>
      </c>
      <c r="AS139" s="9"/>
      <c r="AT139" s="9">
        <v>9120</v>
      </c>
      <c r="AU139" s="9"/>
      <c r="AV139" s="9">
        <v>0</v>
      </c>
      <c r="AW139" s="9"/>
      <c r="AX139" s="9">
        <v>0</v>
      </c>
      <c r="AY139" s="9"/>
      <c r="AZ139" s="9">
        <v>0</v>
      </c>
      <c r="BA139" s="9"/>
      <c r="BB139" s="9">
        <v>0</v>
      </c>
      <c r="BC139" s="9"/>
      <c r="BD139" s="9">
        <v>20001.05</v>
      </c>
      <c r="BE139" s="9"/>
      <c r="BF139" s="9">
        <v>297614.53999999998</v>
      </c>
      <c r="BG139" s="9"/>
      <c r="BH139" s="9">
        <f>8574.67+1291.78+43955.75</f>
        <v>53822.2</v>
      </c>
      <c r="BI139" s="9"/>
      <c r="BJ139" s="9">
        <f>1219+12325+5498</f>
        <v>19042</v>
      </c>
      <c r="BK139" s="9"/>
      <c r="BL139" s="9">
        <v>235548</v>
      </c>
      <c r="BM139" s="9"/>
      <c r="BN139" s="9">
        <f>SUM(T139:BM139)</f>
        <v>660147.79</v>
      </c>
      <c r="BO139" s="9"/>
      <c r="BP139" s="9">
        <v>-4000000</v>
      </c>
      <c r="BQ139" s="9"/>
      <c r="BR139" s="6">
        <f>400000-BL139</f>
        <v>164452</v>
      </c>
      <c r="BS139" s="9"/>
      <c r="BT139" s="9">
        <f>+BN139+BR139</f>
        <v>824599.79</v>
      </c>
      <c r="BU139" s="9"/>
      <c r="BV139" s="9">
        <f>+R139-BT139</f>
        <v>4175400.21</v>
      </c>
      <c r="BW139" s="9"/>
    </row>
    <row r="140" spans="1:75" s="21" customFormat="1">
      <c r="A140" s="283"/>
      <c r="B140" s="58"/>
      <c r="J140" s="8"/>
      <c r="L140" s="141"/>
      <c r="M140" s="9"/>
      <c r="N140" s="10"/>
      <c r="O140" s="9"/>
      <c r="P140" s="10"/>
      <c r="Q140" s="9"/>
      <c r="R140" s="10"/>
      <c r="S140" s="9"/>
      <c r="T140" s="10"/>
      <c r="U140" s="9"/>
      <c r="V140" s="10"/>
      <c r="W140" s="9"/>
      <c r="X140" s="10"/>
      <c r="Y140" s="9"/>
      <c r="Z140" s="10"/>
      <c r="AA140" s="9"/>
      <c r="AB140" s="10"/>
      <c r="AC140" s="9"/>
      <c r="AD140" s="10"/>
      <c r="AE140" s="9"/>
      <c r="AF140" s="10"/>
      <c r="AG140" s="9"/>
      <c r="AH140" s="10"/>
      <c r="AI140" s="9"/>
      <c r="AJ140" s="10"/>
      <c r="AK140" s="9"/>
      <c r="AL140" s="10"/>
      <c r="AM140" s="9"/>
      <c r="AN140" s="10"/>
      <c r="AO140" s="9"/>
      <c r="AP140" s="10"/>
      <c r="AQ140" s="9"/>
      <c r="AR140" s="10"/>
      <c r="AS140" s="9"/>
      <c r="AT140" s="10"/>
      <c r="AU140" s="10"/>
      <c r="AV140" s="10"/>
      <c r="AW140" s="10"/>
      <c r="AX140" s="10"/>
      <c r="AY140" s="10"/>
      <c r="AZ140" s="10"/>
      <c r="BA140" s="10"/>
      <c r="BB140" s="10"/>
      <c r="BC140" s="10"/>
      <c r="BD140" s="10"/>
      <c r="BE140" s="10"/>
      <c r="BF140" s="10"/>
      <c r="BG140" s="10"/>
      <c r="BH140" s="10"/>
      <c r="BI140" s="10"/>
      <c r="BJ140" s="10"/>
      <c r="BK140" s="10"/>
      <c r="BL140" s="10"/>
      <c r="BM140" s="9"/>
      <c r="BN140" s="10"/>
      <c r="BO140" s="9"/>
      <c r="BP140" s="10"/>
      <c r="BQ140" s="9"/>
      <c r="BR140" s="10"/>
      <c r="BS140" s="9"/>
      <c r="BT140" s="10"/>
      <c r="BU140" s="9"/>
      <c r="BV140" s="10"/>
      <c r="BW140" s="9"/>
    </row>
    <row r="141" spans="1:75" s="21" customFormat="1">
      <c r="A141" s="58" t="s">
        <v>29</v>
      </c>
      <c r="B141" s="31"/>
      <c r="J141" s="8" t="s">
        <v>0</v>
      </c>
      <c r="L141" s="132" t="s">
        <v>202</v>
      </c>
      <c r="M141" s="9"/>
      <c r="N141" s="9">
        <v>0</v>
      </c>
      <c r="O141" s="9"/>
      <c r="P141" s="9">
        <v>0</v>
      </c>
      <c r="Q141" s="9"/>
      <c r="R141" s="9">
        <v>1500000</v>
      </c>
      <c r="S141" s="9"/>
      <c r="T141" s="9">
        <v>0</v>
      </c>
      <c r="U141" s="9"/>
      <c r="V141" s="9">
        <v>0</v>
      </c>
      <c r="W141" s="9"/>
      <c r="X141" s="9">
        <v>0</v>
      </c>
      <c r="Y141" s="9"/>
      <c r="Z141" s="9">
        <v>0</v>
      </c>
      <c r="AA141" s="9"/>
      <c r="AB141" s="9">
        <v>0</v>
      </c>
      <c r="AC141" s="9"/>
      <c r="AD141" s="9">
        <v>0</v>
      </c>
      <c r="AE141" s="9"/>
      <c r="AF141" s="9">
        <v>0</v>
      </c>
      <c r="AG141" s="9"/>
      <c r="AH141" s="9">
        <v>0</v>
      </c>
      <c r="AI141" s="9"/>
      <c r="AJ141" s="9">
        <v>0</v>
      </c>
      <c r="AK141" s="9"/>
      <c r="AL141" s="9">
        <v>0</v>
      </c>
      <c r="AM141" s="9"/>
      <c r="AN141" s="9">
        <v>0</v>
      </c>
      <c r="AO141" s="9"/>
      <c r="AP141" s="9">
        <v>0</v>
      </c>
      <c r="AQ141" s="9"/>
      <c r="AR141" s="9">
        <v>946000</v>
      </c>
      <c r="AS141" s="9"/>
      <c r="AT141" s="9">
        <v>0</v>
      </c>
      <c r="AU141" s="9"/>
      <c r="AV141" s="9">
        <v>0</v>
      </c>
      <c r="AW141" s="9"/>
      <c r="AX141" s="9">
        <v>385500</v>
      </c>
      <c r="AY141" s="9"/>
      <c r="AZ141" s="9">
        <v>0</v>
      </c>
      <c r="BA141" s="9"/>
      <c r="BB141" s="9">
        <v>0</v>
      </c>
      <c r="BC141" s="9"/>
      <c r="BD141" s="9">
        <v>0</v>
      </c>
      <c r="BE141" s="9"/>
      <c r="BF141" s="9">
        <v>0</v>
      </c>
      <c r="BG141" s="9"/>
      <c r="BH141" s="9">
        <v>0</v>
      </c>
      <c r="BI141" s="9"/>
      <c r="BJ141" s="9">
        <v>0</v>
      </c>
      <c r="BK141" s="9"/>
      <c r="BL141" s="9">
        <v>0</v>
      </c>
      <c r="BM141" s="9"/>
      <c r="BN141" s="9">
        <f>SUM(T141:BM141)</f>
        <v>1331500</v>
      </c>
      <c r="BO141" s="9"/>
      <c r="BP141" s="9">
        <v>0</v>
      </c>
      <c r="BQ141" s="9"/>
      <c r="BR141" s="6">
        <f>IF(+R141-BN141+BP141&gt;0,R141-BN141+BP141,0)</f>
        <v>168500</v>
      </c>
      <c r="BS141" s="9"/>
      <c r="BT141" s="9">
        <f>+BN141+BR141</f>
        <v>1500000</v>
      </c>
      <c r="BU141" s="9"/>
      <c r="BV141" s="9">
        <f>+R141-BT141</f>
        <v>0</v>
      </c>
      <c r="BW141" s="9"/>
    </row>
    <row r="142" spans="1:75" s="21" customFormat="1">
      <c r="A142" s="283"/>
      <c r="B142" s="58"/>
      <c r="J142" s="8"/>
      <c r="L142" s="141"/>
      <c r="M142" s="9"/>
      <c r="N142" s="10"/>
      <c r="O142" s="9"/>
      <c r="P142" s="10"/>
      <c r="Q142" s="9"/>
      <c r="R142" s="10"/>
      <c r="S142" s="9"/>
      <c r="T142" s="10"/>
      <c r="U142" s="9"/>
      <c r="V142" s="10"/>
      <c r="W142" s="9"/>
      <c r="X142" s="10"/>
      <c r="Y142" s="9"/>
      <c r="Z142" s="10"/>
      <c r="AA142" s="9"/>
      <c r="AB142" s="10"/>
      <c r="AC142" s="9"/>
      <c r="AD142" s="10"/>
      <c r="AE142" s="9"/>
      <c r="AF142" s="10"/>
      <c r="AG142" s="9"/>
      <c r="AH142" s="10"/>
      <c r="AI142" s="9"/>
      <c r="AJ142" s="10"/>
      <c r="AK142" s="9"/>
      <c r="AL142" s="10"/>
      <c r="AM142" s="9"/>
      <c r="AN142" s="10"/>
      <c r="AO142" s="9"/>
      <c r="AP142" s="10"/>
      <c r="AQ142" s="9"/>
      <c r="AR142" s="10"/>
      <c r="AS142" s="9"/>
      <c r="AT142" s="10"/>
      <c r="AU142" s="10"/>
      <c r="AV142" s="10"/>
      <c r="AW142" s="10"/>
      <c r="AX142" s="10"/>
      <c r="AY142" s="10"/>
      <c r="AZ142" s="10"/>
      <c r="BA142" s="10"/>
      <c r="BB142" s="10"/>
      <c r="BC142" s="10"/>
      <c r="BD142" s="10"/>
      <c r="BE142" s="10"/>
      <c r="BF142" s="10"/>
      <c r="BG142" s="10"/>
      <c r="BH142" s="10"/>
      <c r="BI142" s="10"/>
      <c r="BJ142" s="10"/>
      <c r="BK142" s="10"/>
      <c r="BL142" s="10"/>
      <c r="BM142" s="9"/>
      <c r="BN142" s="10"/>
      <c r="BO142" s="9"/>
      <c r="BP142" s="10"/>
      <c r="BQ142" s="9"/>
      <c r="BR142" s="10"/>
      <c r="BS142" s="9"/>
      <c r="BT142" s="10"/>
      <c r="BU142" s="9"/>
      <c r="BV142" s="10"/>
      <c r="BW142" s="9"/>
    </row>
    <row r="143" spans="1:75" s="15" customFormat="1">
      <c r="A143" s="32" t="s">
        <v>178</v>
      </c>
      <c r="B143" s="60"/>
      <c r="C143"/>
      <c r="D143"/>
      <c r="E143"/>
      <c r="F143"/>
      <c r="G143"/>
      <c r="H143"/>
      <c r="I143"/>
      <c r="J143" s="49"/>
      <c r="K143"/>
      <c r="L143" s="13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  <c r="BJ143" s="22"/>
      <c r="BK143" s="22"/>
      <c r="BL143" s="22"/>
      <c r="BM143" s="22"/>
      <c r="BN143" s="22"/>
      <c r="BO143" s="22"/>
      <c r="BP143" s="22"/>
      <c r="BQ143" s="22"/>
      <c r="BR143" s="22"/>
      <c r="BS143" s="22"/>
      <c r="BT143" s="22"/>
      <c r="BU143" s="22"/>
      <c r="BV143" s="22"/>
      <c r="BW143" s="22"/>
    </row>
    <row r="144" spans="1:75" s="15" customFormat="1" hidden="1">
      <c r="A144" s="109"/>
      <c r="B144" s="60" t="s">
        <v>179</v>
      </c>
      <c r="C144"/>
      <c r="D144"/>
      <c r="E144"/>
      <c r="F144"/>
      <c r="G144"/>
      <c r="H144"/>
      <c r="I144"/>
      <c r="J144" s="49"/>
      <c r="K144"/>
      <c r="L144" s="132" t="s">
        <v>202</v>
      </c>
      <c r="M144" s="22"/>
      <c r="N144" s="22">
        <v>0</v>
      </c>
      <c r="O144" s="22"/>
      <c r="P144" s="22">
        <v>0</v>
      </c>
      <c r="Q144" s="22"/>
      <c r="R144" s="6">
        <f>+N144+P144</f>
        <v>0</v>
      </c>
      <c r="S144" s="22"/>
      <c r="T144" s="22">
        <v>0</v>
      </c>
      <c r="U144" s="22"/>
      <c r="V144" s="22">
        <v>0</v>
      </c>
      <c r="W144" s="22"/>
      <c r="X144" s="22">
        <v>0</v>
      </c>
      <c r="Y144" s="22"/>
      <c r="Z144" s="22">
        <v>0</v>
      </c>
      <c r="AA144" s="22"/>
      <c r="AB144" s="22">
        <v>0</v>
      </c>
      <c r="AC144" s="22"/>
      <c r="AD144" s="22">
        <v>0</v>
      </c>
      <c r="AE144" s="22"/>
      <c r="AF144" s="22">
        <v>0</v>
      </c>
      <c r="AG144" s="22"/>
      <c r="AH144" s="22">
        <v>0</v>
      </c>
      <c r="AI144" s="22"/>
      <c r="AJ144" s="22">
        <v>0</v>
      </c>
      <c r="AK144" s="22"/>
      <c r="AL144" s="22">
        <v>0</v>
      </c>
      <c r="AM144" s="22"/>
      <c r="AN144" s="22">
        <v>0</v>
      </c>
      <c r="AO144" s="22"/>
      <c r="AP144" s="22">
        <v>0</v>
      </c>
      <c r="AQ144" s="22"/>
      <c r="AR144" s="22">
        <v>0</v>
      </c>
      <c r="AS144" s="22"/>
      <c r="AT144" s="22">
        <v>0</v>
      </c>
      <c r="AU144" s="22"/>
      <c r="AV144" s="22">
        <v>0</v>
      </c>
      <c r="AW144" s="22"/>
      <c r="AX144" s="22">
        <v>0</v>
      </c>
      <c r="AY144" s="22"/>
      <c r="AZ144" s="22">
        <v>0</v>
      </c>
      <c r="BA144" s="22"/>
      <c r="BB144" s="22">
        <v>0</v>
      </c>
      <c r="BC144" s="22"/>
      <c r="BD144" s="22">
        <v>0</v>
      </c>
      <c r="BE144" s="22"/>
      <c r="BF144" s="22">
        <v>0</v>
      </c>
      <c r="BG144" s="22"/>
      <c r="BH144" s="22">
        <v>0</v>
      </c>
      <c r="BI144" s="22"/>
      <c r="BJ144" s="22">
        <v>0</v>
      </c>
      <c r="BK144" s="22"/>
      <c r="BL144" s="22">
        <v>0</v>
      </c>
      <c r="BM144" s="22"/>
      <c r="BN144" s="22">
        <f>SUM(T144:BM144)</f>
        <v>0</v>
      </c>
      <c r="BO144" s="22"/>
      <c r="BP144" s="22">
        <v>0</v>
      </c>
      <c r="BQ144" s="22"/>
      <c r="BR144" s="22">
        <f>+R144-BN144+BP144</f>
        <v>0</v>
      </c>
      <c r="BS144" s="22"/>
      <c r="BT144" s="6">
        <f>+BN144+BR144</f>
        <v>0</v>
      </c>
      <c r="BU144" s="22"/>
      <c r="BV144" s="6">
        <f>+R144-BT144</f>
        <v>0</v>
      </c>
      <c r="BW144" s="22"/>
    </row>
    <row r="145" spans="1:124" s="15" customFormat="1">
      <c r="A145" s="109"/>
      <c r="B145" s="60" t="s">
        <v>180</v>
      </c>
      <c r="C145"/>
      <c r="D145"/>
      <c r="E145"/>
      <c r="F145"/>
      <c r="G145"/>
      <c r="H145"/>
      <c r="I145"/>
      <c r="J145" s="49"/>
      <c r="K145"/>
      <c r="L145" s="132" t="s">
        <v>202</v>
      </c>
      <c r="M145" s="22"/>
      <c r="N145" s="22">
        <v>0</v>
      </c>
      <c r="O145" s="22"/>
      <c r="P145" s="22">
        <v>0</v>
      </c>
      <c r="Q145" s="22"/>
      <c r="R145" s="6">
        <v>1000000</v>
      </c>
      <c r="S145" s="22"/>
      <c r="T145" s="22">
        <v>0</v>
      </c>
      <c r="U145" s="22"/>
      <c r="V145" s="22">
        <v>0</v>
      </c>
      <c r="W145" s="22"/>
      <c r="X145" s="22">
        <v>0</v>
      </c>
      <c r="Y145" s="22"/>
      <c r="Z145" s="22">
        <v>0</v>
      </c>
      <c r="AA145" s="22"/>
      <c r="AB145" s="22">
        <v>0</v>
      </c>
      <c r="AC145" s="22"/>
      <c r="AD145" s="22">
        <v>0</v>
      </c>
      <c r="AE145" s="22"/>
      <c r="AF145" s="22">
        <v>0</v>
      </c>
      <c r="AG145" s="22"/>
      <c r="AH145" s="22">
        <v>0</v>
      </c>
      <c r="AI145" s="22"/>
      <c r="AJ145" s="22">
        <v>0</v>
      </c>
      <c r="AK145" s="22"/>
      <c r="AL145" s="22">
        <v>0</v>
      </c>
      <c r="AM145" s="22"/>
      <c r="AN145" s="22">
        <v>0</v>
      </c>
      <c r="AO145" s="22"/>
      <c r="AP145" s="22">
        <v>0</v>
      </c>
      <c r="AQ145" s="22"/>
      <c r="AR145" s="22">
        <v>0</v>
      </c>
      <c r="AS145" s="22"/>
      <c r="AT145" s="22">
        <v>0</v>
      </c>
      <c r="AU145" s="22"/>
      <c r="AV145" s="22">
        <v>0</v>
      </c>
      <c r="AW145" s="22"/>
      <c r="AX145" s="22">
        <v>0</v>
      </c>
      <c r="AY145" s="22"/>
      <c r="AZ145" s="22">
        <v>141167</v>
      </c>
      <c r="BA145" s="22"/>
      <c r="BB145" s="22">
        <v>949317.51</v>
      </c>
      <c r="BC145" s="22"/>
      <c r="BD145" s="22">
        <v>-297293.82</v>
      </c>
      <c r="BE145" s="22"/>
      <c r="BF145" s="22">
        <v>0</v>
      </c>
      <c r="BG145" s="22"/>
      <c r="BH145" s="22">
        <v>0</v>
      </c>
      <c r="BI145" s="22"/>
      <c r="BJ145" s="22">
        <v>0</v>
      </c>
      <c r="BK145" s="22"/>
      <c r="BL145" s="22">
        <v>0</v>
      </c>
      <c r="BM145" s="22"/>
      <c r="BN145" s="22">
        <f>SUM(T145:BM145)</f>
        <v>793190.69</v>
      </c>
      <c r="BO145" s="22"/>
      <c r="BP145" s="22">
        <v>0</v>
      </c>
      <c r="BQ145" s="22"/>
      <c r="BR145" s="6">
        <f>IF(+R145-BN145+BP145&gt;0,R145-BN145+BP145,0)</f>
        <v>206809.31000000006</v>
      </c>
      <c r="BS145" s="22"/>
      <c r="BT145" s="6">
        <f>+BN145+BR145</f>
        <v>1000000</v>
      </c>
      <c r="BU145" s="22"/>
      <c r="BV145" s="6">
        <f>+R145-BT145</f>
        <v>0</v>
      </c>
      <c r="BW145" s="22"/>
    </row>
    <row r="146" spans="1:124" s="15" customFormat="1" hidden="1">
      <c r="A146" s="109"/>
      <c r="B146" s="60" t="s">
        <v>121</v>
      </c>
      <c r="C146"/>
      <c r="D146"/>
      <c r="E146"/>
      <c r="F146"/>
      <c r="G146"/>
      <c r="H146"/>
      <c r="I146"/>
      <c r="J146" s="49"/>
      <c r="K146"/>
      <c r="L146" s="132" t="s">
        <v>202</v>
      </c>
      <c r="M146" s="22"/>
      <c r="N146" s="22">
        <v>0</v>
      </c>
      <c r="O146" s="22"/>
      <c r="P146" s="22">
        <v>0</v>
      </c>
      <c r="Q146" s="22"/>
      <c r="R146" s="6">
        <v>0</v>
      </c>
      <c r="S146" s="22"/>
      <c r="T146" s="22">
        <v>0</v>
      </c>
      <c r="U146" s="22"/>
      <c r="V146" s="22">
        <v>0</v>
      </c>
      <c r="W146" s="22"/>
      <c r="X146" s="22">
        <v>0</v>
      </c>
      <c r="Y146" s="22"/>
      <c r="Z146" s="22">
        <v>0</v>
      </c>
      <c r="AA146" s="22"/>
      <c r="AB146" s="22">
        <v>0</v>
      </c>
      <c r="AC146" s="22"/>
      <c r="AD146" s="22">
        <v>0</v>
      </c>
      <c r="AE146" s="22"/>
      <c r="AF146" s="22">
        <v>0</v>
      </c>
      <c r="AG146" s="22"/>
      <c r="AH146" s="22">
        <v>0</v>
      </c>
      <c r="AI146" s="22"/>
      <c r="AJ146" s="22">
        <v>0</v>
      </c>
      <c r="AK146" s="22"/>
      <c r="AL146" s="22">
        <v>0</v>
      </c>
      <c r="AM146" s="22"/>
      <c r="AN146" s="22">
        <v>0</v>
      </c>
      <c r="AO146" s="22"/>
      <c r="AP146" s="22">
        <v>0</v>
      </c>
      <c r="AQ146" s="22"/>
      <c r="AR146" s="22">
        <v>0</v>
      </c>
      <c r="AS146" s="22"/>
      <c r="AT146" s="22">
        <v>0</v>
      </c>
      <c r="AU146" s="22"/>
      <c r="AV146" s="22">
        <v>0</v>
      </c>
      <c r="AW146" s="22"/>
      <c r="AX146" s="22">
        <v>0</v>
      </c>
      <c r="AY146" s="22"/>
      <c r="AZ146" s="22">
        <v>0</v>
      </c>
      <c r="BA146" s="22"/>
      <c r="BB146" s="22">
        <v>0</v>
      </c>
      <c r="BC146" s="22"/>
      <c r="BD146" s="22">
        <v>0</v>
      </c>
      <c r="BE146" s="22"/>
      <c r="BF146" s="22">
        <v>0</v>
      </c>
      <c r="BG146" s="22"/>
      <c r="BH146" s="22">
        <v>0</v>
      </c>
      <c r="BI146" s="22"/>
      <c r="BJ146" s="22">
        <v>0</v>
      </c>
      <c r="BK146" s="22"/>
      <c r="BL146" s="22">
        <v>0</v>
      </c>
      <c r="BM146" s="22"/>
      <c r="BN146" s="22">
        <f>SUM(T146:BM146)</f>
        <v>0</v>
      </c>
      <c r="BO146" s="22"/>
      <c r="BP146" s="22">
        <v>0</v>
      </c>
      <c r="BQ146" s="22"/>
      <c r="BR146" s="22">
        <f>+R146-BN146+BP146</f>
        <v>0</v>
      </c>
      <c r="BS146" s="22"/>
      <c r="BT146" s="6">
        <f>+BN146+BR146</f>
        <v>0</v>
      </c>
      <c r="BU146" s="22"/>
      <c r="BV146" s="6">
        <f>+R146-BT146</f>
        <v>0</v>
      </c>
      <c r="BW146" s="22"/>
    </row>
    <row r="147" spans="1:124" s="104" customFormat="1">
      <c r="A147" s="32"/>
      <c r="B147" s="77" t="s">
        <v>181</v>
      </c>
      <c r="C147" s="21"/>
      <c r="D147" s="21"/>
      <c r="E147" s="21"/>
      <c r="F147" s="21"/>
      <c r="G147" s="21"/>
      <c r="H147" s="21"/>
      <c r="I147" s="21"/>
      <c r="J147" s="8"/>
      <c r="K147" s="21"/>
      <c r="L147" s="141"/>
      <c r="M147" s="16"/>
      <c r="N147" s="108">
        <f>SUM(N144:N146)</f>
        <v>0</v>
      </c>
      <c r="O147" s="16"/>
      <c r="P147" s="108">
        <f>SUM(P144:P146)</f>
        <v>0</v>
      </c>
      <c r="Q147" s="16"/>
      <c r="R147" s="108">
        <f>SUM(R144:R146)</f>
        <v>1000000</v>
      </c>
      <c r="S147" s="16"/>
      <c r="T147" s="108">
        <f>SUM(T144:T146)</f>
        <v>0</v>
      </c>
      <c r="U147" s="16"/>
      <c r="V147" s="108">
        <f>SUM(V144:V146)</f>
        <v>0</v>
      </c>
      <c r="W147" s="16"/>
      <c r="X147" s="108">
        <f>SUM(X144:X146)</f>
        <v>0</v>
      </c>
      <c r="Y147" s="16"/>
      <c r="Z147" s="108">
        <f>SUM(Z144:Z146)</f>
        <v>0</v>
      </c>
      <c r="AA147" s="16"/>
      <c r="AB147" s="108">
        <f>SUM(AB144:AB146)</f>
        <v>0</v>
      </c>
      <c r="AC147" s="16"/>
      <c r="AD147" s="108">
        <f>SUM(AD144:AD146)</f>
        <v>0</v>
      </c>
      <c r="AE147" s="16"/>
      <c r="AF147" s="108">
        <f>SUM(AF144:AF146)</f>
        <v>0</v>
      </c>
      <c r="AG147" s="16"/>
      <c r="AH147" s="108">
        <f>SUM(AH144:AH146)</f>
        <v>0</v>
      </c>
      <c r="AI147" s="16"/>
      <c r="AJ147" s="108">
        <f>SUM(AJ144:AJ146)</f>
        <v>0</v>
      </c>
      <c r="AK147" s="16"/>
      <c r="AL147" s="108">
        <f>SUM(AL144:AL146)</f>
        <v>0</v>
      </c>
      <c r="AM147" s="16"/>
      <c r="AN147" s="108">
        <f>SUM(AN144:AN146)</f>
        <v>0</v>
      </c>
      <c r="AO147" s="16"/>
      <c r="AP147" s="108">
        <f>SUM(AP144:AP146)</f>
        <v>0</v>
      </c>
      <c r="AQ147" s="16"/>
      <c r="AR147" s="108">
        <f>SUM(AR144:AR146)</f>
        <v>0</v>
      </c>
      <c r="AS147" s="16"/>
      <c r="AT147" s="108">
        <f>SUM(AT144:AT146)</f>
        <v>0</v>
      </c>
      <c r="AU147" s="103"/>
      <c r="AV147" s="108">
        <f>SUM(AV144:AV146)</f>
        <v>0</v>
      </c>
      <c r="AW147" s="103"/>
      <c r="AX147" s="108">
        <f>SUM(AX144:AX146)</f>
        <v>0</v>
      </c>
      <c r="AY147" s="103"/>
      <c r="AZ147" s="108">
        <f>SUM(AZ144:AZ146)</f>
        <v>141167</v>
      </c>
      <c r="BA147" s="103"/>
      <c r="BB147" s="108">
        <f>SUM(BB144:BB146)</f>
        <v>949317.51</v>
      </c>
      <c r="BC147" s="103"/>
      <c r="BD147" s="108">
        <f>SUM(BD144:BD146)</f>
        <v>-297293.82</v>
      </c>
      <c r="BE147" s="103"/>
      <c r="BF147" s="108">
        <f>SUM(BF144:BF146)</f>
        <v>0</v>
      </c>
      <c r="BG147" s="103"/>
      <c r="BH147" s="108">
        <f>SUM(BH144:BH146)</f>
        <v>0</v>
      </c>
      <c r="BI147" s="103"/>
      <c r="BJ147" s="108">
        <f>SUM(BJ144:BJ146)</f>
        <v>0</v>
      </c>
      <c r="BK147" s="103"/>
      <c r="BL147" s="108">
        <f>SUM(BL144:BL146)</f>
        <v>0</v>
      </c>
      <c r="BM147" s="16"/>
      <c r="BN147" s="108">
        <f>SUM(BN144:BN146)</f>
        <v>793190.69</v>
      </c>
      <c r="BO147" s="16"/>
      <c r="BP147" s="108">
        <f>SUM(BP144:BP146)</f>
        <v>0</v>
      </c>
      <c r="BQ147" s="16"/>
      <c r="BR147" s="108">
        <f>SUM(BR144:BR146)</f>
        <v>206809.31000000006</v>
      </c>
      <c r="BS147" s="16"/>
      <c r="BT147" s="108">
        <f>SUM(BT144:BT146)</f>
        <v>1000000</v>
      </c>
      <c r="BU147" s="16"/>
      <c r="BV147" s="108">
        <f>SUM(BV144:BV146)</f>
        <v>0</v>
      </c>
      <c r="BW147" s="16"/>
    </row>
    <row r="148" spans="1:124" s="104" customFormat="1">
      <c r="A148" s="32"/>
      <c r="B148" s="77"/>
      <c r="C148" s="21"/>
      <c r="D148" s="21"/>
      <c r="E148" s="21"/>
      <c r="F148" s="21"/>
      <c r="G148" s="21"/>
      <c r="H148" s="21"/>
      <c r="I148" s="21"/>
      <c r="J148" s="8"/>
      <c r="K148" s="21"/>
      <c r="L148" s="141"/>
      <c r="M148" s="16"/>
      <c r="N148" s="103"/>
      <c r="O148" s="16"/>
      <c r="P148" s="103"/>
      <c r="Q148" s="16"/>
      <c r="R148" s="103"/>
      <c r="S148" s="16"/>
      <c r="T148" s="103"/>
      <c r="U148" s="16"/>
      <c r="V148" s="103"/>
      <c r="W148" s="16"/>
      <c r="X148" s="103"/>
      <c r="Y148" s="16"/>
      <c r="Z148" s="103"/>
      <c r="AA148" s="16"/>
      <c r="AB148" s="103"/>
      <c r="AC148" s="16"/>
      <c r="AD148" s="103"/>
      <c r="AE148" s="16"/>
      <c r="AF148" s="103"/>
      <c r="AG148" s="16"/>
      <c r="AH148" s="103"/>
      <c r="AI148" s="16"/>
      <c r="AJ148" s="103"/>
      <c r="AK148" s="16"/>
      <c r="AL148" s="103"/>
      <c r="AM148" s="16"/>
      <c r="AN148" s="103"/>
      <c r="AO148" s="16"/>
      <c r="AP148" s="103"/>
      <c r="AQ148" s="16"/>
      <c r="AR148" s="103"/>
      <c r="AS148" s="16"/>
      <c r="AT148" s="103"/>
      <c r="AU148" s="103"/>
      <c r="AV148" s="103"/>
      <c r="AW148" s="103"/>
      <c r="AX148" s="103"/>
      <c r="AY148" s="103"/>
      <c r="AZ148" s="103"/>
      <c r="BA148" s="103"/>
      <c r="BB148" s="103"/>
      <c r="BC148" s="103"/>
      <c r="BD148" s="103"/>
      <c r="BE148" s="103"/>
      <c r="BF148" s="103"/>
      <c r="BG148" s="103"/>
      <c r="BH148" s="103"/>
      <c r="BI148" s="103"/>
      <c r="BJ148" s="103"/>
      <c r="BK148" s="103"/>
      <c r="BL148" s="103"/>
      <c r="BM148" s="16"/>
      <c r="BN148" s="103"/>
      <c r="BO148" s="16"/>
      <c r="BP148" s="103"/>
      <c r="BQ148" s="16"/>
      <c r="BR148" s="103"/>
      <c r="BS148" s="16"/>
      <c r="BT148" s="103"/>
      <c r="BU148" s="16"/>
      <c r="BV148" s="103"/>
      <c r="BW148" s="16"/>
    </row>
    <row r="149" spans="1:124" s="31" customFormat="1">
      <c r="A149" s="58" t="s">
        <v>31</v>
      </c>
      <c r="J149" s="156"/>
      <c r="L149" s="143" t="s">
        <v>202</v>
      </c>
      <c r="M149" s="10"/>
      <c r="N149" s="10">
        <v>0</v>
      </c>
      <c r="O149" s="10"/>
      <c r="P149" s="10">
        <v>0</v>
      </c>
      <c r="Q149" s="10"/>
      <c r="R149" s="9">
        <v>200000</v>
      </c>
      <c r="S149" s="10"/>
      <c r="T149" s="10">
        <v>0</v>
      </c>
      <c r="U149" s="10"/>
      <c r="V149" s="10">
        <v>0</v>
      </c>
      <c r="W149" s="10"/>
      <c r="X149" s="10">
        <v>0</v>
      </c>
      <c r="Y149" s="10"/>
      <c r="Z149" s="10">
        <v>0</v>
      </c>
      <c r="AA149" s="10"/>
      <c r="AB149" s="10">
        <v>0</v>
      </c>
      <c r="AC149" s="10"/>
      <c r="AD149" s="10">
        <v>0</v>
      </c>
      <c r="AE149" s="10"/>
      <c r="AF149" s="10">
        <v>0</v>
      </c>
      <c r="AG149" s="10"/>
      <c r="AH149" s="10">
        <v>0</v>
      </c>
      <c r="AI149" s="10"/>
      <c r="AJ149" s="10">
        <v>0</v>
      </c>
      <c r="AK149" s="10"/>
      <c r="AL149" s="10">
        <v>0</v>
      </c>
      <c r="AM149" s="10"/>
      <c r="AN149" s="10">
        <v>0</v>
      </c>
      <c r="AO149" s="10"/>
      <c r="AP149" s="10">
        <v>0</v>
      </c>
      <c r="AQ149" s="10"/>
      <c r="AR149" s="10">
        <v>175875</v>
      </c>
      <c r="AS149" s="10"/>
      <c r="AT149" s="10">
        <v>0</v>
      </c>
      <c r="AU149" s="10"/>
      <c r="AV149" s="10">
        <v>0</v>
      </c>
      <c r="AW149" s="10"/>
      <c r="AX149" s="10">
        <v>0</v>
      </c>
      <c r="AY149" s="10"/>
      <c r="AZ149" s="10">
        <v>0</v>
      </c>
      <c r="BA149" s="10"/>
      <c r="BB149" s="10">
        <v>0</v>
      </c>
      <c r="BC149" s="10"/>
      <c r="BD149" s="10">
        <v>0</v>
      </c>
      <c r="BE149" s="10"/>
      <c r="BF149" s="10">
        <v>0</v>
      </c>
      <c r="BG149" s="10"/>
      <c r="BH149" s="10">
        <v>0</v>
      </c>
      <c r="BI149" s="10"/>
      <c r="BJ149" s="10">
        <v>0</v>
      </c>
      <c r="BK149" s="10"/>
      <c r="BL149" s="10">
        <v>0</v>
      </c>
      <c r="BM149" s="10"/>
      <c r="BN149" s="10">
        <f>SUM(T149:BM149)</f>
        <v>175875</v>
      </c>
      <c r="BO149" s="10"/>
      <c r="BP149" s="10">
        <v>0</v>
      </c>
      <c r="BQ149" s="10"/>
      <c r="BR149" s="6">
        <f>IF(+R149-BN149+BP149&gt;0,R149-BN149+BP149,0)</f>
        <v>24125</v>
      </c>
      <c r="BS149" s="10"/>
      <c r="BT149" s="9">
        <f>+BN149+BR149</f>
        <v>200000</v>
      </c>
      <c r="BU149" s="10"/>
      <c r="BV149" s="9">
        <f>+R149-BT149</f>
        <v>0</v>
      </c>
      <c r="BW149" s="10"/>
    </row>
    <row r="150" spans="1:124" s="15" customFormat="1">
      <c r="A150" s="109"/>
      <c r="B150" s="60"/>
      <c r="C150"/>
      <c r="D150"/>
      <c r="E150"/>
      <c r="F150"/>
      <c r="G150"/>
      <c r="H150"/>
      <c r="I150"/>
      <c r="J150" s="49"/>
      <c r="K150"/>
      <c r="L150" s="13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  <c r="BJ150" s="22"/>
      <c r="BK150" s="22"/>
      <c r="BL150" s="22"/>
      <c r="BM150" s="22"/>
      <c r="BN150" s="22"/>
      <c r="BO150" s="22"/>
      <c r="BP150" s="22"/>
      <c r="BQ150" s="22"/>
      <c r="BR150" s="22"/>
      <c r="BS150" s="22"/>
      <c r="BT150" s="22"/>
      <c r="BU150" s="22"/>
      <c r="BV150" s="22"/>
      <c r="BW150" s="22"/>
    </row>
    <row r="151" spans="1:124" s="31" customFormat="1">
      <c r="A151" s="58" t="s">
        <v>32</v>
      </c>
      <c r="J151" s="156"/>
      <c r="L151" s="143" t="s">
        <v>202</v>
      </c>
      <c r="M151" s="10"/>
      <c r="N151" s="10">
        <v>0</v>
      </c>
      <c r="O151" s="10"/>
      <c r="P151" s="10">
        <v>0</v>
      </c>
      <c r="Q151" s="10"/>
      <c r="R151" s="9">
        <v>200000</v>
      </c>
      <c r="S151" s="10"/>
      <c r="T151" s="10">
        <v>0</v>
      </c>
      <c r="U151" s="10"/>
      <c r="V151" s="10">
        <v>0</v>
      </c>
      <c r="W151" s="10"/>
      <c r="X151" s="10"/>
      <c r="Y151" s="10"/>
      <c r="Z151" s="10">
        <v>0</v>
      </c>
      <c r="AA151" s="10"/>
      <c r="AB151" s="10">
        <f>3365.69+304.38</f>
        <v>3670.07</v>
      </c>
      <c r="AC151" s="10"/>
      <c r="AD151" s="10">
        <f>7225.26+6587.53+6939.71+1074.93+910.57</f>
        <v>22738</v>
      </c>
      <c r="AE151" s="10"/>
      <c r="AF151" s="10">
        <v>14946.71</v>
      </c>
      <c r="AG151" s="10"/>
      <c r="AH151" s="10">
        <v>7606.71</v>
      </c>
      <c r="AI151" s="10"/>
      <c r="AJ151" s="10">
        <v>10911.6</v>
      </c>
      <c r="AK151" s="10"/>
      <c r="AL151" s="10">
        <v>18233.16</v>
      </c>
      <c r="AM151" s="10"/>
      <c r="AN151" s="10">
        <v>0</v>
      </c>
      <c r="AO151" s="10"/>
      <c r="AP151" s="10">
        <v>0</v>
      </c>
      <c r="AQ151" s="10"/>
      <c r="AR151" s="10">
        <v>0</v>
      </c>
      <c r="AS151" s="10"/>
      <c r="AT151" s="10">
        <v>1468.85</v>
      </c>
      <c r="AU151" s="10"/>
      <c r="AV151" s="10">
        <v>24646.400000000001</v>
      </c>
      <c r="AW151" s="10"/>
      <c r="AX151" s="10">
        <v>11209.91</v>
      </c>
      <c r="AY151" s="10"/>
      <c r="AZ151" s="10">
        <v>0</v>
      </c>
      <c r="BA151" s="10"/>
      <c r="BB151" s="10">
        <v>0</v>
      </c>
      <c r="BC151" s="10"/>
      <c r="BD151" s="10">
        <v>0</v>
      </c>
      <c r="BE151" s="10"/>
      <c r="BF151" s="10">
        <v>0</v>
      </c>
      <c r="BG151" s="10"/>
      <c r="BH151" s="10">
        <v>0</v>
      </c>
      <c r="BI151" s="10"/>
      <c r="BJ151" s="10">
        <v>0</v>
      </c>
      <c r="BK151" s="10"/>
      <c r="BL151" s="10">
        <v>0</v>
      </c>
      <c r="BM151" s="10"/>
      <c r="BN151" s="10">
        <f>SUM(T151:BM151)</f>
        <v>115431.41</v>
      </c>
      <c r="BO151" s="10"/>
      <c r="BP151" s="10">
        <v>-84569</v>
      </c>
      <c r="BQ151" s="10"/>
      <c r="BR151" s="6">
        <f>IF(+R151-BN151+BP151&gt;0,R151-BN151+BP151,0)</f>
        <v>0</v>
      </c>
      <c r="BS151" s="10"/>
      <c r="BT151" s="9">
        <f>+BN151+BR151</f>
        <v>115431.41</v>
      </c>
      <c r="BU151" s="10"/>
      <c r="BV151" s="9">
        <f>+R151-BT151</f>
        <v>84568.59</v>
      </c>
      <c r="BW151" s="10"/>
    </row>
    <row r="152" spans="1:124" s="15" customFormat="1">
      <c r="A152" s="109"/>
      <c r="B152" s="60"/>
      <c r="C152"/>
      <c r="D152"/>
      <c r="E152"/>
      <c r="F152"/>
      <c r="G152"/>
      <c r="H152"/>
      <c r="I152"/>
      <c r="J152" s="49"/>
      <c r="K152"/>
      <c r="L152" s="13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  <c r="BJ152" s="22"/>
      <c r="BK152" s="22"/>
      <c r="BL152" s="22"/>
      <c r="BM152" s="22"/>
      <c r="BN152" s="22"/>
      <c r="BO152" s="22"/>
      <c r="BP152" s="22"/>
      <c r="BQ152" s="22"/>
      <c r="BR152" s="22"/>
      <c r="BS152" s="22"/>
      <c r="BT152" s="22"/>
      <c r="BU152" s="22"/>
      <c r="BV152" s="22"/>
      <c r="BW152" s="22"/>
    </row>
    <row r="153" spans="1:124">
      <c r="A153" s="58" t="s">
        <v>33</v>
      </c>
      <c r="B153" s="11"/>
      <c r="C153"/>
      <c r="D153"/>
      <c r="E153"/>
      <c r="F153"/>
      <c r="G153"/>
      <c r="H153"/>
      <c r="I153"/>
      <c r="J153" s="49"/>
      <c r="K153"/>
      <c r="L153" s="132"/>
      <c r="M153" s="6"/>
      <c r="O153" s="6"/>
      <c r="Q153" s="6"/>
      <c r="S153" s="6"/>
      <c r="T153" s="6"/>
      <c r="U153" s="6"/>
      <c r="V153" s="6"/>
      <c r="X153" s="6"/>
      <c r="Z153" s="6"/>
      <c r="AB153" s="6"/>
      <c r="AD153" s="6"/>
      <c r="BJ153" s="6"/>
      <c r="BL153" s="6"/>
      <c r="BM153" s="6"/>
      <c r="BO153" s="6"/>
      <c r="BP153" s="6"/>
      <c r="BQ153" s="6"/>
      <c r="BW153" s="6"/>
    </row>
    <row r="154" spans="1:124" s="11" customFormat="1">
      <c r="A154" s="17"/>
      <c r="B154" s="11" t="s">
        <v>184</v>
      </c>
      <c r="J154" s="157"/>
      <c r="L154" s="144" t="s">
        <v>203</v>
      </c>
      <c r="M154" s="12"/>
      <c r="N154" s="12">
        <v>200000</v>
      </c>
      <c r="O154" s="12"/>
      <c r="P154" s="12">
        <v>0</v>
      </c>
      <c r="Q154" s="12"/>
      <c r="R154" s="6">
        <v>30000</v>
      </c>
      <c r="S154" s="12"/>
      <c r="T154" s="12">
        <v>0</v>
      </c>
      <c r="U154" s="12"/>
      <c r="V154" s="12">
        <v>0</v>
      </c>
      <c r="W154" s="12"/>
      <c r="X154" s="12">
        <v>14497.18</v>
      </c>
      <c r="Y154" s="12"/>
      <c r="Z154" s="12">
        <v>0</v>
      </c>
      <c r="AA154" s="12"/>
      <c r="AB154" s="12">
        <v>0</v>
      </c>
      <c r="AC154" s="12"/>
      <c r="AD154" s="12">
        <v>0</v>
      </c>
      <c r="AE154" s="12"/>
      <c r="AF154" s="12">
        <v>0</v>
      </c>
      <c r="AG154" s="12"/>
      <c r="AH154" s="12">
        <v>0</v>
      </c>
      <c r="AI154" s="12"/>
      <c r="AJ154" s="12">
        <v>0</v>
      </c>
      <c r="AK154" s="12"/>
      <c r="AL154" s="12">
        <v>0</v>
      </c>
      <c r="AM154" s="12"/>
      <c r="AN154" s="12">
        <v>0</v>
      </c>
      <c r="AO154" s="12"/>
      <c r="AP154" s="12">
        <v>0</v>
      </c>
      <c r="AQ154" s="12"/>
      <c r="AR154" s="12">
        <v>0</v>
      </c>
      <c r="AS154" s="12"/>
      <c r="AT154" s="12">
        <v>0</v>
      </c>
      <c r="AU154" s="12"/>
      <c r="AV154" s="12">
        <v>0</v>
      </c>
      <c r="AW154" s="12"/>
      <c r="AX154" s="12">
        <v>0</v>
      </c>
      <c r="AY154" s="12"/>
      <c r="AZ154" s="12">
        <v>0</v>
      </c>
      <c r="BA154" s="12"/>
      <c r="BB154" s="12">
        <v>0</v>
      </c>
      <c r="BC154" s="12"/>
      <c r="BD154" s="12">
        <v>0</v>
      </c>
      <c r="BE154" s="12"/>
      <c r="BF154" s="12">
        <v>0</v>
      </c>
      <c r="BG154" s="12"/>
      <c r="BH154" s="12">
        <v>0</v>
      </c>
      <c r="BI154" s="12"/>
      <c r="BJ154" s="12">
        <v>0</v>
      </c>
      <c r="BK154" s="12"/>
      <c r="BL154" s="12">
        <v>0</v>
      </c>
      <c r="BM154" s="12"/>
      <c r="BN154" s="12">
        <f t="shared" ref="BN154:BN159" si="26">SUM(T154:BM154)</f>
        <v>14497.18</v>
      </c>
      <c r="BO154" s="12"/>
      <c r="BP154" s="12">
        <v>0</v>
      </c>
      <c r="BQ154" s="12"/>
      <c r="BR154" s="6">
        <f t="shared" ref="BR154:BR159" si="27">IF(+R154-BN154+BP154&gt;0,R154-BN154+BP154,0)</f>
        <v>15502.82</v>
      </c>
      <c r="BS154" s="12"/>
      <c r="BT154" s="6">
        <f t="shared" ref="BT154:BT159" si="28">+BN154+BR154</f>
        <v>30000</v>
      </c>
      <c r="BU154" s="12"/>
      <c r="BV154" s="6">
        <f t="shared" ref="BV154:BV159" si="29">+R154-BT154</f>
        <v>0</v>
      </c>
      <c r="BW154" s="12"/>
    </row>
    <row r="155" spans="1:124" s="11" customFormat="1">
      <c r="A155" s="17"/>
      <c r="B155" s="11" t="s">
        <v>34</v>
      </c>
      <c r="J155" s="157"/>
      <c r="L155" s="144" t="s">
        <v>203</v>
      </c>
      <c r="M155" s="12"/>
      <c r="N155" s="12">
        <v>0</v>
      </c>
      <c r="O155" s="12"/>
      <c r="P155" s="12">
        <v>50000</v>
      </c>
      <c r="Q155" s="12"/>
      <c r="R155" s="6">
        <v>150000</v>
      </c>
      <c r="S155" s="12"/>
      <c r="T155" s="12">
        <v>0</v>
      </c>
      <c r="U155" s="12"/>
      <c r="V155" s="12">
        <v>1177.53</v>
      </c>
      <c r="W155" s="12"/>
      <c r="X155" s="12">
        <v>426.75</v>
      </c>
      <c r="Y155" s="12"/>
      <c r="Z155" s="12">
        <f>825.67+21.17+687.5+96.74+1098.18</f>
        <v>2729.26</v>
      </c>
      <c r="AA155" s="12"/>
      <c r="AB155" s="12">
        <v>1480.06</v>
      </c>
      <c r="AC155" s="12"/>
      <c r="AD155" s="12">
        <f>828.24+1000.53+13.74+42+868.24</f>
        <v>2752.75</v>
      </c>
      <c r="AE155" s="12"/>
      <c r="AF155" s="12">
        <v>11808.68</v>
      </c>
      <c r="AG155" s="12"/>
      <c r="AH155" s="12">
        <v>12739.96</v>
      </c>
      <c r="AI155" s="12"/>
      <c r="AJ155" s="12">
        <v>11636.6</v>
      </c>
      <c r="AK155" s="12"/>
      <c r="AL155" s="12">
        <v>3911.51</v>
      </c>
      <c r="AM155" s="12"/>
      <c r="AN155" s="12">
        <v>3113.56</v>
      </c>
      <c r="AO155" s="12"/>
      <c r="AP155" s="12">
        <v>7537.43</v>
      </c>
      <c r="AQ155" s="12"/>
      <c r="AR155" s="12">
        <v>3430.47</v>
      </c>
      <c r="AS155" s="12"/>
      <c r="AT155" s="12">
        <v>6123.69</v>
      </c>
      <c r="AU155" s="12"/>
      <c r="AV155" s="12">
        <v>1927.44</v>
      </c>
      <c r="AW155" s="12"/>
      <c r="AX155" s="12">
        <v>5311.06</v>
      </c>
      <c r="AY155" s="12"/>
      <c r="AZ155" s="12">
        <v>0</v>
      </c>
      <c r="BA155" s="12"/>
      <c r="BB155" s="12">
        <v>931.37</v>
      </c>
      <c r="BC155" s="12"/>
      <c r="BD155" s="12">
        <v>0</v>
      </c>
      <c r="BE155" s="12"/>
      <c r="BF155" s="12">
        <v>0</v>
      </c>
      <c r="BG155" s="12"/>
      <c r="BH155" s="12">
        <v>0</v>
      </c>
      <c r="BI155" s="12"/>
      <c r="BJ155" s="12">
        <v>2125</v>
      </c>
      <c r="BK155" s="12"/>
      <c r="BL155" s="12"/>
      <c r="BM155" s="12"/>
      <c r="BN155" s="12">
        <f t="shared" si="26"/>
        <v>79163.12</v>
      </c>
      <c r="BO155" s="12"/>
      <c r="BP155" s="12">
        <v>0</v>
      </c>
      <c r="BQ155" s="12"/>
      <c r="BR155" s="6">
        <f t="shared" si="27"/>
        <v>70836.88</v>
      </c>
      <c r="BS155" s="12"/>
      <c r="BT155" s="6">
        <f t="shared" si="28"/>
        <v>150000</v>
      </c>
      <c r="BU155" s="12"/>
      <c r="BV155" s="6">
        <f t="shared" si="29"/>
        <v>0</v>
      </c>
      <c r="BW155" s="12"/>
    </row>
    <row r="156" spans="1:124" s="11" customFormat="1">
      <c r="A156" s="17"/>
      <c r="B156" s="11" t="s">
        <v>217</v>
      </c>
      <c r="J156" s="157"/>
      <c r="L156" s="144" t="s">
        <v>203</v>
      </c>
      <c r="M156" s="12"/>
      <c r="N156" s="12">
        <v>0</v>
      </c>
      <c r="O156" s="12"/>
      <c r="P156" s="12">
        <v>24235</v>
      </c>
      <c r="Q156" s="12"/>
      <c r="R156" s="6"/>
      <c r="S156" s="12"/>
      <c r="T156" s="12">
        <v>0</v>
      </c>
      <c r="U156" s="12"/>
      <c r="V156" s="12">
        <v>0</v>
      </c>
      <c r="W156" s="12"/>
      <c r="X156" s="12">
        <v>0</v>
      </c>
      <c r="Y156" s="12"/>
      <c r="Z156" s="12">
        <v>0</v>
      </c>
      <c r="AA156" s="12"/>
      <c r="AB156" s="12">
        <v>0</v>
      </c>
      <c r="AC156" s="12"/>
      <c r="AD156" s="12">
        <v>0</v>
      </c>
      <c r="AE156" s="12"/>
      <c r="AF156" s="12">
        <v>0</v>
      </c>
      <c r="AG156" s="12"/>
      <c r="AH156" s="12">
        <v>0</v>
      </c>
      <c r="AI156" s="12"/>
      <c r="AJ156" s="12">
        <v>0</v>
      </c>
      <c r="AK156" s="12"/>
      <c r="AL156" s="12">
        <v>0</v>
      </c>
      <c r="AM156" s="12"/>
      <c r="AN156" s="12">
        <v>0</v>
      </c>
      <c r="AO156" s="12"/>
      <c r="AP156" s="12">
        <v>0</v>
      </c>
      <c r="AQ156" s="12"/>
      <c r="AR156" s="12">
        <v>0</v>
      </c>
      <c r="AS156" s="12"/>
      <c r="AT156" s="12">
        <v>0</v>
      </c>
      <c r="AU156" s="12"/>
      <c r="AV156" s="12">
        <v>0</v>
      </c>
      <c r="AW156" s="12"/>
      <c r="AX156" s="12">
        <v>0</v>
      </c>
      <c r="AY156" s="12"/>
      <c r="AZ156" s="12">
        <v>0</v>
      </c>
      <c r="BA156" s="12"/>
      <c r="BB156" s="12">
        <v>0</v>
      </c>
      <c r="BC156" s="12"/>
      <c r="BD156" s="12">
        <v>0</v>
      </c>
      <c r="BE156" s="12"/>
      <c r="BF156" s="12">
        <v>0</v>
      </c>
      <c r="BG156" s="12"/>
      <c r="BH156" s="12">
        <v>0</v>
      </c>
      <c r="BI156" s="12"/>
      <c r="BJ156" s="12">
        <v>0</v>
      </c>
      <c r="BK156" s="12"/>
      <c r="BL156" s="12">
        <v>0</v>
      </c>
      <c r="BM156" s="12"/>
      <c r="BN156" s="12">
        <f t="shared" si="26"/>
        <v>0</v>
      </c>
      <c r="BO156" s="12"/>
      <c r="BP156" s="12">
        <v>0</v>
      </c>
      <c r="BQ156" s="12"/>
      <c r="BR156" s="6">
        <f t="shared" si="27"/>
        <v>0</v>
      </c>
      <c r="BS156" s="12"/>
      <c r="BT156" s="6">
        <f t="shared" si="28"/>
        <v>0</v>
      </c>
      <c r="BU156" s="12"/>
      <c r="BV156" s="6">
        <f t="shared" si="29"/>
        <v>0</v>
      </c>
      <c r="BW156" s="12"/>
    </row>
    <row r="157" spans="1:124" s="11" customFormat="1">
      <c r="A157" s="17"/>
      <c r="B157" s="11" t="s">
        <v>121</v>
      </c>
      <c r="J157" s="157"/>
      <c r="L157" s="144" t="s">
        <v>203</v>
      </c>
      <c r="M157" s="12"/>
      <c r="N157" s="12">
        <v>400000</v>
      </c>
      <c r="O157" s="12"/>
      <c r="P157" s="12">
        <f>49065-N157-6000</f>
        <v>-356935</v>
      </c>
      <c r="Q157" s="12"/>
      <c r="R157" s="6">
        <v>220000</v>
      </c>
      <c r="S157" s="12"/>
      <c r="T157" s="12">
        <v>0</v>
      </c>
      <c r="U157" s="12"/>
      <c r="V157" s="12">
        <v>0</v>
      </c>
      <c r="W157" s="12"/>
      <c r="X157" s="12"/>
      <c r="Y157" s="12"/>
      <c r="Z157" s="12"/>
      <c r="AA157" s="12"/>
      <c r="AB157" s="12"/>
      <c r="AC157" s="12"/>
      <c r="AD157" s="12">
        <f>2287.5</f>
        <v>2287.5</v>
      </c>
      <c r="AE157" s="12"/>
      <c r="AF157" s="12">
        <v>7317.49</v>
      </c>
      <c r="AG157" s="12"/>
      <c r="AH157" s="12">
        <v>20400</v>
      </c>
      <c r="AI157" s="12"/>
      <c r="AJ157" s="12">
        <v>875</v>
      </c>
      <c r="AK157" s="12"/>
      <c r="AL157" s="12">
        <v>26869.599999999999</v>
      </c>
      <c r="AM157" s="12"/>
      <c r="AN157" s="12">
        <v>11540.02</v>
      </c>
      <c r="AO157" s="12"/>
      <c r="AP157" s="12">
        <f>106180-83333.35</f>
        <v>22846.649999999994</v>
      </c>
      <c r="AQ157" s="12"/>
      <c r="AR157" s="12">
        <f>23517.61+1866.18+2591+150</f>
        <v>28124.79</v>
      </c>
      <c r="AS157" s="12"/>
      <c r="AT157" s="12">
        <v>28858.74</v>
      </c>
      <c r="AU157" s="12"/>
      <c r="AV157" s="12">
        <v>29874.240000000002</v>
      </c>
      <c r="AW157" s="12"/>
      <c r="AX157" s="12">
        <v>47425</v>
      </c>
      <c r="AY157" s="12"/>
      <c r="AZ157" s="12">
        <f>66831-2500</f>
        <v>64331</v>
      </c>
      <c r="BA157" s="12"/>
      <c r="BB157" s="12">
        <f>39287.61</f>
        <v>39287.61</v>
      </c>
      <c r="BC157" s="12"/>
      <c r="BD157" s="12">
        <f>6994.44+1423.2+4178.48+57828.2+2495.79+37581.62-264</f>
        <v>110237.72999999998</v>
      </c>
      <c r="BE157" s="12"/>
      <c r="BF157" s="12">
        <v>13668.55</v>
      </c>
      <c r="BG157" s="12"/>
      <c r="BH157" s="12">
        <f>32977.26+25000</f>
        <v>57977.26</v>
      </c>
      <c r="BI157" s="12"/>
      <c r="BJ157" s="12">
        <f>7304+7631+27303</f>
        <v>42238</v>
      </c>
      <c r="BK157" s="12"/>
      <c r="BL157" s="12">
        <v>5165</v>
      </c>
      <c r="BM157" s="12"/>
      <c r="BN157" s="12">
        <f t="shared" si="26"/>
        <v>559324.17999999993</v>
      </c>
      <c r="BO157" s="12"/>
      <c r="BP157" s="12">
        <v>0</v>
      </c>
      <c r="BQ157" s="12"/>
      <c r="BR157" s="6">
        <f t="shared" si="27"/>
        <v>0</v>
      </c>
      <c r="BS157" s="12"/>
      <c r="BT157" s="6">
        <f t="shared" si="28"/>
        <v>559324.17999999993</v>
      </c>
      <c r="BU157" s="12"/>
      <c r="BV157" s="6">
        <f t="shared" si="29"/>
        <v>-339324.17999999993</v>
      </c>
      <c r="BW157" s="12"/>
    </row>
    <row r="158" spans="1:124" s="11" customFormat="1">
      <c r="A158" s="17"/>
      <c r="B158" s="11" t="s">
        <v>333</v>
      </c>
      <c r="J158" s="157"/>
      <c r="L158" s="144"/>
      <c r="M158" s="12"/>
      <c r="N158" s="12"/>
      <c r="O158" s="12"/>
      <c r="P158" s="12"/>
      <c r="Q158" s="12"/>
      <c r="R158" s="6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  <c r="AJ158" s="12"/>
      <c r="AK158" s="12"/>
      <c r="AL158" s="12"/>
      <c r="AM158" s="12"/>
      <c r="AN158" s="12"/>
      <c r="AO158" s="12"/>
      <c r="AP158" s="12">
        <v>83333.350000000006</v>
      </c>
      <c r="AQ158" s="12"/>
      <c r="AR158" s="12">
        <f>82333.33+25346.23+4027.9</f>
        <v>111707.45999999999</v>
      </c>
      <c r="AS158" s="12"/>
      <c r="AT158" s="12"/>
      <c r="AU158" s="12"/>
      <c r="AV158" s="12"/>
      <c r="AW158" s="12"/>
      <c r="AX158" s="12"/>
      <c r="AY158" s="12"/>
      <c r="AZ158" s="12"/>
      <c r="BA158" s="12"/>
      <c r="BB158" s="12"/>
      <c r="BC158" s="12"/>
      <c r="BD158" s="12"/>
      <c r="BE158" s="12"/>
      <c r="BF158" s="12"/>
      <c r="BG158" s="12"/>
      <c r="BH158" s="12"/>
      <c r="BI158" s="12"/>
      <c r="BJ158" s="12"/>
      <c r="BK158" s="12"/>
      <c r="BL158" s="12"/>
      <c r="BM158" s="12"/>
      <c r="BN158" s="12">
        <f t="shared" si="26"/>
        <v>195040.81</v>
      </c>
      <c r="BO158" s="12"/>
      <c r="BP158" s="12">
        <v>0</v>
      </c>
      <c r="BQ158" s="12"/>
      <c r="BR158" s="6">
        <f t="shared" si="27"/>
        <v>0</v>
      </c>
      <c r="BS158" s="12"/>
      <c r="BT158" s="6">
        <f t="shared" si="28"/>
        <v>195040.81</v>
      </c>
      <c r="BU158" s="12"/>
      <c r="BV158" s="6">
        <f t="shared" si="29"/>
        <v>-195040.81</v>
      </c>
      <c r="BW158" s="12"/>
    </row>
    <row r="159" spans="1:124" s="11" customFormat="1">
      <c r="A159" s="17"/>
      <c r="B159" s="11" t="s">
        <v>278</v>
      </c>
      <c r="J159" s="157"/>
      <c r="L159" s="144"/>
      <c r="M159" s="12"/>
      <c r="N159" s="12"/>
      <c r="O159" s="12"/>
      <c r="P159" s="12"/>
      <c r="Q159" s="12"/>
      <c r="R159" s="6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>
        <v>75487.009999999995</v>
      </c>
      <c r="AG159" s="12"/>
      <c r="AH159" s="12">
        <f>17132.73+566.91+17351.65+16608.78+10439.68+3047.17</f>
        <v>65146.92</v>
      </c>
      <c r="AI159" s="12"/>
      <c r="AJ159" s="12">
        <v>18599.240000000002</v>
      </c>
      <c r="AK159" s="12"/>
      <c r="AL159" s="12"/>
      <c r="AM159" s="12"/>
      <c r="AN159" s="12"/>
      <c r="AO159" s="12"/>
      <c r="AP159" s="12"/>
      <c r="AQ159" s="12"/>
      <c r="AR159" s="12"/>
      <c r="AS159" s="12"/>
      <c r="AT159" s="12"/>
      <c r="AU159" s="12"/>
      <c r="AV159" s="12">
        <v>9122.91</v>
      </c>
      <c r="AW159" s="12"/>
      <c r="AX159" s="12"/>
      <c r="AY159" s="12"/>
      <c r="AZ159" s="12"/>
      <c r="BA159" s="12"/>
      <c r="BB159" s="12"/>
      <c r="BC159" s="12"/>
      <c r="BD159" s="12"/>
      <c r="BE159" s="12"/>
      <c r="BF159" s="12"/>
      <c r="BG159" s="12"/>
      <c r="BH159" s="12"/>
      <c r="BI159" s="12"/>
      <c r="BJ159" s="12"/>
      <c r="BK159" s="12"/>
      <c r="BL159" s="12"/>
      <c r="BM159" s="12"/>
      <c r="BN159" s="12">
        <f t="shared" si="26"/>
        <v>168356.08</v>
      </c>
      <c r="BO159" s="12"/>
      <c r="BP159" s="12">
        <v>159233</v>
      </c>
      <c r="BQ159" s="12"/>
      <c r="BR159" s="6">
        <f t="shared" si="27"/>
        <v>0</v>
      </c>
      <c r="BS159" s="12"/>
      <c r="BT159" s="6">
        <f t="shared" si="28"/>
        <v>168356.08</v>
      </c>
      <c r="BU159" s="12"/>
      <c r="BV159" s="6">
        <f t="shared" si="29"/>
        <v>-168356.08</v>
      </c>
      <c r="BW159" s="12"/>
    </row>
    <row r="160" spans="1:124" s="21" customFormat="1">
      <c r="A160" s="58"/>
      <c r="B160" s="31" t="s">
        <v>40</v>
      </c>
      <c r="J160" s="8"/>
      <c r="L160" s="141"/>
      <c r="M160" s="9"/>
      <c r="N160" s="102">
        <f>SUM(N154:N157)</f>
        <v>600000</v>
      </c>
      <c r="O160" s="9"/>
      <c r="P160" s="102">
        <f>SUM(P154:P157)</f>
        <v>-282700</v>
      </c>
      <c r="Q160" s="9"/>
      <c r="R160" s="102">
        <f>SUM(R154:R159)</f>
        <v>400000</v>
      </c>
      <c r="S160" s="102">
        <f t="shared" ref="S160:BV160" si="30">SUM(S154:S159)</f>
        <v>0</v>
      </c>
      <c r="T160" s="102">
        <f t="shared" si="30"/>
        <v>0</v>
      </c>
      <c r="U160" s="102">
        <f t="shared" si="30"/>
        <v>0</v>
      </c>
      <c r="V160" s="102">
        <f t="shared" si="30"/>
        <v>1177.53</v>
      </c>
      <c r="W160" s="102">
        <f t="shared" si="30"/>
        <v>0</v>
      </c>
      <c r="X160" s="102">
        <f t="shared" si="30"/>
        <v>14923.93</v>
      </c>
      <c r="Y160" s="102">
        <f t="shared" si="30"/>
        <v>0</v>
      </c>
      <c r="Z160" s="102">
        <f t="shared" si="30"/>
        <v>2729.26</v>
      </c>
      <c r="AA160" s="102">
        <f t="shared" si="30"/>
        <v>0</v>
      </c>
      <c r="AB160" s="102">
        <f t="shared" si="30"/>
        <v>1480.06</v>
      </c>
      <c r="AC160" s="102">
        <f t="shared" si="30"/>
        <v>0</v>
      </c>
      <c r="AD160" s="102">
        <f t="shared" si="30"/>
        <v>5040.25</v>
      </c>
      <c r="AE160" s="102">
        <f t="shared" si="30"/>
        <v>0</v>
      </c>
      <c r="AF160" s="102">
        <f t="shared" si="30"/>
        <v>94613.18</v>
      </c>
      <c r="AG160" s="102">
        <f t="shared" si="30"/>
        <v>0</v>
      </c>
      <c r="AH160" s="102">
        <f t="shared" si="30"/>
        <v>98286.88</v>
      </c>
      <c r="AI160" s="102">
        <f t="shared" si="30"/>
        <v>0</v>
      </c>
      <c r="AJ160" s="102">
        <f t="shared" si="30"/>
        <v>31110.840000000004</v>
      </c>
      <c r="AK160" s="102">
        <f t="shared" si="30"/>
        <v>0</v>
      </c>
      <c r="AL160" s="102">
        <f t="shared" si="30"/>
        <v>30781.11</v>
      </c>
      <c r="AM160" s="102">
        <f t="shared" si="30"/>
        <v>0</v>
      </c>
      <c r="AN160" s="102">
        <f t="shared" si="30"/>
        <v>14653.58</v>
      </c>
      <c r="AO160" s="102">
        <f t="shared" si="30"/>
        <v>0</v>
      </c>
      <c r="AP160" s="102">
        <f t="shared" si="30"/>
        <v>113717.43</v>
      </c>
      <c r="AQ160" s="102"/>
      <c r="AR160" s="102">
        <f t="shared" si="30"/>
        <v>143262.72</v>
      </c>
      <c r="AS160" s="102">
        <f t="shared" si="30"/>
        <v>0</v>
      </c>
      <c r="AT160" s="102">
        <f t="shared" si="30"/>
        <v>34982.43</v>
      </c>
      <c r="AU160" s="102">
        <f t="shared" si="30"/>
        <v>0</v>
      </c>
      <c r="AV160" s="102">
        <f t="shared" si="30"/>
        <v>40924.589999999997</v>
      </c>
      <c r="AW160" s="102">
        <f t="shared" si="30"/>
        <v>0</v>
      </c>
      <c r="AX160" s="102">
        <f t="shared" si="30"/>
        <v>52736.06</v>
      </c>
      <c r="AY160" s="102">
        <f t="shared" si="30"/>
        <v>0</v>
      </c>
      <c r="AZ160" s="102">
        <f t="shared" si="30"/>
        <v>64331</v>
      </c>
      <c r="BA160" s="102">
        <f t="shared" si="30"/>
        <v>0</v>
      </c>
      <c r="BB160" s="102">
        <f t="shared" si="30"/>
        <v>40218.980000000003</v>
      </c>
      <c r="BC160" s="102">
        <f t="shared" si="30"/>
        <v>0</v>
      </c>
      <c r="BD160" s="102">
        <f t="shared" si="30"/>
        <v>110237.72999999998</v>
      </c>
      <c r="BE160" s="102">
        <f t="shared" si="30"/>
        <v>0</v>
      </c>
      <c r="BF160" s="102">
        <f t="shared" si="30"/>
        <v>13668.55</v>
      </c>
      <c r="BG160" s="102">
        <f t="shared" si="30"/>
        <v>0</v>
      </c>
      <c r="BH160" s="102">
        <f t="shared" si="30"/>
        <v>57977.26</v>
      </c>
      <c r="BI160" s="102">
        <f t="shared" si="30"/>
        <v>0</v>
      </c>
      <c r="BJ160" s="102">
        <f t="shared" si="30"/>
        <v>44363</v>
      </c>
      <c r="BK160" s="102">
        <f>SUM(BK154:BK159)</f>
        <v>0</v>
      </c>
      <c r="BL160" s="102">
        <f>SUM(BL154:BL159)</f>
        <v>5165</v>
      </c>
      <c r="BM160" s="102">
        <f t="shared" si="30"/>
        <v>0</v>
      </c>
      <c r="BN160" s="102">
        <f t="shared" si="30"/>
        <v>1016381.37</v>
      </c>
      <c r="BO160" s="102">
        <f t="shared" si="30"/>
        <v>0</v>
      </c>
      <c r="BP160" s="102">
        <f t="shared" si="30"/>
        <v>159233</v>
      </c>
      <c r="BQ160" s="102">
        <f t="shared" si="30"/>
        <v>0</v>
      </c>
      <c r="BR160" s="102">
        <f t="shared" si="30"/>
        <v>86339.700000000012</v>
      </c>
      <c r="BS160" s="102">
        <f t="shared" si="30"/>
        <v>0</v>
      </c>
      <c r="BT160" s="102">
        <f t="shared" si="30"/>
        <v>1102721.07</v>
      </c>
      <c r="BU160" s="102">
        <f t="shared" si="30"/>
        <v>0</v>
      </c>
      <c r="BV160" s="102">
        <f t="shared" si="30"/>
        <v>-702721.07</v>
      </c>
      <c r="BW160" s="9"/>
      <c r="BX160"/>
      <c r="BY160"/>
      <c r="BZ160"/>
      <c r="CA160"/>
      <c r="CB160"/>
      <c r="CC160"/>
      <c r="CD160"/>
      <c r="CE160"/>
      <c r="CF160"/>
      <c r="CG160"/>
      <c r="CH160"/>
      <c r="CI160"/>
      <c r="CJ160"/>
      <c r="CK160"/>
      <c r="CL160"/>
      <c r="CM160"/>
      <c r="CN160"/>
      <c r="CO160"/>
      <c r="CP160"/>
      <c r="CQ160"/>
      <c r="CR160"/>
      <c r="CS160"/>
      <c r="CT160"/>
      <c r="CU160"/>
      <c r="CV160"/>
      <c r="CW160"/>
      <c r="CX160"/>
      <c r="CY160"/>
      <c r="CZ160"/>
      <c r="DA160"/>
      <c r="DB160"/>
      <c r="DC160"/>
      <c r="DD160"/>
      <c r="DE160"/>
      <c r="DF160"/>
      <c r="DG160"/>
      <c r="DH160"/>
      <c r="DI160"/>
      <c r="DJ160"/>
      <c r="DK160"/>
      <c r="DL160"/>
      <c r="DM160"/>
      <c r="DN160"/>
      <c r="DO160"/>
      <c r="DP160"/>
      <c r="DQ160"/>
      <c r="DR160"/>
      <c r="DS160"/>
      <c r="DT160"/>
    </row>
    <row r="161" spans="1:124" s="21" customFormat="1">
      <c r="A161" s="58"/>
      <c r="B161" s="31"/>
      <c r="J161" s="8"/>
      <c r="L161" s="141"/>
      <c r="M161" s="9"/>
      <c r="N161" s="10"/>
      <c r="O161" s="9"/>
      <c r="P161" s="10"/>
      <c r="Q161" s="9"/>
      <c r="R161" s="10"/>
      <c r="S161" s="9"/>
      <c r="T161" s="10"/>
      <c r="U161" s="9"/>
      <c r="V161" s="10"/>
      <c r="W161" s="9"/>
      <c r="X161" s="10"/>
      <c r="Y161" s="9"/>
      <c r="Z161" s="10"/>
      <c r="AA161" s="9"/>
      <c r="AB161" s="10"/>
      <c r="AC161" s="9"/>
      <c r="AD161" s="10"/>
      <c r="AE161" s="9"/>
      <c r="AF161" s="10"/>
      <c r="AG161" s="9"/>
      <c r="AH161" s="10"/>
      <c r="AI161" s="9"/>
      <c r="AJ161" s="10"/>
      <c r="AK161" s="9"/>
      <c r="AL161" s="10"/>
      <c r="AM161" s="9"/>
      <c r="AN161" s="10"/>
      <c r="AO161" s="9"/>
      <c r="AP161" s="10"/>
      <c r="AQ161" s="9"/>
      <c r="AR161" s="10"/>
      <c r="AS161" s="9"/>
      <c r="AT161" s="10"/>
      <c r="AU161" s="10"/>
      <c r="AV161" s="10"/>
      <c r="AW161" s="10"/>
      <c r="AX161" s="10"/>
      <c r="AY161" s="10"/>
      <c r="AZ161" s="10"/>
      <c r="BA161" s="10"/>
      <c r="BB161" s="10"/>
      <c r="BC161" s="10"/>
      <c r="BD161" s="10"/>
      <c r="BE161" s="10"/>
      <c r="BF161" s="10"/>
      <c r="BG161" s="10"/>
      <c r="BH161" s="10"/>
      <c r="BI161" s="10"/>
      <c r="BJ161" s="10"/>
      <c r="BK161" s="10"/>
      <c r="BL161" s="10"/>
      <c r="BM161" s="9"/>
      <c r="BN161" s="10"/>
      <c r="BO161" s="9"/>
      <c r="BP161" s="10"/>
      <c r="BQ161" s="9"/>
      <c r="BR161" s="10"/>
      <c r="BS161" s="9"/>
      <c r="BT161" s="10"/>
      <c r="BU161" s="9"/>
      <c r="BV161" s="10"/>
      <c r="BW161" s="9"/>
      <c r="BX161"/>
      <c r="BY161"/>
      <c r="BZ161"/>
      <c r="CA161"/>
      <c r="CB161"/>
      <c r="CC161"/>
      <c r="CD161"/>
      <c r="CE161"/>
      <c r="CF161"/>
      <c r="CG161"/>
      <c r="CH161"/>
      <c r="CI161"/>
      <c r="CJ161"/>
      <c r="CK161"/>
      <c r="CL161"/>
      <c r="CM161"/>
      <c r="CN161"/>
      <c r="CO161"/>
      <c r="CP161"/>
      <c r="CQ161"/>
      <c r="CR161"/>
      <c r="CS161"/>
      <c r="CT161"/>
      <c r="CU161"/>
      <c r="CV161"/>
      <c r="CW161"/>
      <c r="CX161"/>
      <c r="CY161"/>
      <c r="CZ161"/>
      <c r="DA161"/>
      <c r="DB161"/>
      <c r="DC161"/>
      <c r="DD161"/>
      <c r="DE161"/>
      <c r="DF161"/>
      <c r="DG161"/>
      <c r="DH161"/>
      <c r="DI161"/>
      <c r="DJ161"/>
      <c r="DK161"/>
      <c r="DL161"/>
      <c r="DM161"/>
      <c r="DN161"/>
      <c r="DO161"/>
      <c r="DP161"/>
      <c r="DQ161"/>
      <c r="DR161"/>
      <c r="DS161"/>
      <c r="DT161"/>
    </row>
    <row r="162" spans="1:124">
      <c r="A162" s="58" t="s">
        <v>35</v>
      </c>
      <c r="B162" s="11"/>
      <c r="C162"/>
      <c r="D162"/>
      <c r="E162"/>
      <c r="F162"/>
      <c r="G162"/>
      <c r="H162"/>
      <c r="I162"/>
      <c r="J162" s="49"/>
      <c r="K162"/>
      <c r="L162" s="132"/>
      <c r="M162" s="6"/>
      <c r="O162" s="6"/>
      <c r="Q162" s="6"/>
      <c r="S162" s="6"/>
      <c r="T162" s="6"/>
      <c r="U162" s="12"/>
      <c r="V162" s="6"/>
      <c r="W162" s="12"/>
      <c r="X162" s="6"/>
      <c r="Y162" s="12"/>
      <c r="Z162" s="6"/>
      <c r="AA162" s="12"/>
      <c r="AB162" s="6"/>
      <c r="AC162" s="12"/>
      <c r="AD162" s="6"/>
      <c r="AE162" s="12"/>
      <c r="AG162" s="12"/>
      <c r="AI162" s="12"/>
      <c r="AK162" s="12"/>
      <c r="AM162" s="12"/>
      <c r="AO162" s="12"/>
      <c r="AQ162" s="12"/>
      <c r="AS162" s="12"/>
      <c r="BJ162" s="6"/>
      <c r="BL162" s="6"/>
      <c r="BM162" s="6"/>
      <c r="BO162" s="6"/>
      <c r="BP162" s="6"/>
      <c r="BQ162" s="6"/>
      <c r="BW162" s="12"/>
      <c r="BX162"/>
      <c r="BY162"/>
      <c r="BZ162"/>
      <c r="CA162"/>
      <c r="CB162"/>
      <c r="CC162"/>
      <c r="CD162"/>
      <c r="CE162"/>
      <c r="CF162"/>
      <c r="CG162"/>
      <c r="CH162"/>
      <c r="CI162"/>
      <c r="CJ162"/>
      <c r="CK162"/>
      <c r="CL162"/>
      <c r="CM162"/>
      <c r="CN162"/>
      <c r="CO162"/>
      <c r="CP162"/>
      <c r="CQ162"/>
      <c r="CR162"/>
      <c r="CS162"/>
      <c r="CT162"/>
      <c r="CU162"/>
      <c r="CV162"/>
      <c r="CW162"/>
      <c r="CX162"/>
      <c r="CY162"/>
      <c r="CZ162"/>
      <c r="DA162"/>
      <c r="DB162"/>
      <c r="DC162"/>
      <c r="DD162"/>
      <c r="DE162"/>
      <c r="DF162"/>
      <c r="DG162"/>
      <c r="DH162"/>
      <c r="DI162"/>
      <c r="DJ162"/>
      <c r="DK162"/>
      <c r="DL162"/>
      <c r="DM162"/>
      <c r="DN162"/>
      <c r="DO162"/>
      <c r="DP162"/>
      <c r="DQ162"/>
      <c r="DR162"/>
      <c r="DS162"/>
      <c r="DT162"/>
    </row>
    <row r="163" spans="1:124" s="11" customFormat="1">
      <c r="A163" s="17"/>
      <c r="B163" s="11" t="s">
        <v>37</v>
      </c>
      <c r="J163" s="157"/>
      <c r="L163" s="144" t="s">
        <v>203</v>
      </c>
      <c r="M163" s="12"/>
      <c r="N163" s="12">
        <v>0</v>
      </c>
      <c r="O163" s="12"/>
      <c r="P163" s="12">
        <f>300000-5511</f>
        <v>294489</v>
      </c>
      <c r="Q163" s="12"/>
      <c r="R163" s="6">
        <v>0</v>
      </c>
      <c r="S163" s="12"/>
      <c r="T163" s="12">
        <v>0</v>
      </c>
      <c r="U163" s="12"/>
      <c r="V163" s="12">
        <v>0</v>
      </c>
      <c r="W163" s="12"/>
      <c r="X163" s="12">
        <v>0</v>
      </c>
      <c r="Y163" s="12"/>
      <c r="Z163" s="12">
        <v>0</v>
      </c>
      <c r="AA163" s="12"/>
      <c r="AB163" s="12">
        <v>0</v>
      </c>
      <c r="AC163" s="12"/>
      <c r="AD163" s="12"/>
      <c r="AE163" s="12"/>
      <c r="AF163" s="12">
        <v>0</v>
      </c>
      <c r="AG163" s="12"/>
      <c r="AH163" s="12">
        <v>0</v>
      </c>
      <c r="AI163" s="12"/>
      <c r="AJ163" s="12">
        <v>0</v>
      </c>
      <c r="AK163" s="12"/>
      <c r="AL163" s="12">
        <v>0</v>
      </c>
      <c r="AM163" s="12"/>
      <c r="AN163" s="12">
        <v>0</v>
      </c>
      <c r="AO163" s="12"/>
      <c r="AP163" s="12">
        <v>0</v>
      </c>
      <c r="AQ163" s="12"/>
      <c r="AR163" s="12">
        <v>0</v>
      </c>
      <c r="AS163" s="12"/>
      <c r="AT163" s="12">
        <v>0</v>
      </c>
      <c r="AU163" s="12"/>
      <c r="AV163" s="12">
        <v>0</v>
      </c>
      <c r="AW163" s="12"/>
      <c r="AX163" s="12">
        <v>0</v>
      </c>
      <c r="AY163" s="12"/>
      <c r="AZ163" s="12">
        <v>0</v>
      </c>
      <c r="BA163" s="12"/>
      <c r="BB163" s="12">
        <v>0</v>
      </c>
      <c r="BC163" s="12"/>
      <c r="BD163" s="12">
        <v>0</v>
      </c>
      <c r="BE163" s="12"/>
      <c r="BF163" s="12">
        <v>0</v>
      </c>
      <c r="BG163" s="12"/>
      <c r="BH163" s="12">
        <v>0</v>
      </c>
      <c r="BI163" s="12"/>
      <c r="BJ163" s="12">
        <v>0</v>
      </c>
      <c r="BK163" s="12"/>
      <c r="BL163" s="12">
        <v>0</v>
      </c>
      <c r="BM163" s="12"/>
      <c r="BN163" s="12">
        <f>SUM(T163:BM163)</f>
        <v>0</v>
      </c>
      <c r="BO163" s="12"/>
      <c r="BP163" s="12">
        <v>0</v>
      </c>
      <c r="BQ163" s="12"/>
      <c r="BR163" s="6">
        <f>IF(+R163-BN163+BP163&gt;0,R163-BN163+BP163,0)</f>
        <v>0</v>
      </c>
      <c r="BS163" s="12"/>
      <c r="BT163" s="6">
        <f>+BN163+BR163</f>
        <v>0</v>
      </c>
      <c r="BU163" s="12"/>
      <c r="BV163" s="6">
        <f>+R163-BT163</f>
        <v>0</v>
      </c>
      <c r="BW163" s="12"/>
      <c r="BX163"/>
      <c r="BY163"/>
      <c r="BZ163"/>
      <c r="CA163"/>
      <c r="CB163"/>
      <c r="CC163"/>
      <c r="CD163"/>
      <c r="CE163"/>
      <c r="CF163"/>
      <c r="CG163"/>
      <c r="CH163"/>
      <c r="CI163"/>
      <c r="CJ163"/>
      <c r="CK163"/>
      <c r="CL163"/>
      <c r="CM163"/>
      <c r="CN163"/>
      <c r="CO163"/>
      <c r="CP163"/>
      <c r="CQ163"/>
      <c r="CR163"/>
      <c r="CS163"/>
      <c r="CT163"/>
      <c r="CU163"/>
      <c r="CV163"/>
      <c r="CW163"/>
      <c r="CX163"/>
      <c r="CY163"/>
      <c r="CZ163"/>
      <c r="DA163"/>
      <c r="DB163"/>
      <c r="DC163"/>
      <c r="DD163"/>
      <c r="DE163"/>
      <c r="DF163"/>
      <c r="DG163"/>
      <c r="DH163"/>
      <c r="DI163"/>
      <c r="DJ163"/>
      <c r="DK163"/>
      <c r="DL163"/>
      <c r="DM163"/>
      <c r="DN163"/>
      <c r="DO163"/>
      <c r="DP163"/>
      <c r="DQ163"/>
      <c r="DR163"/>
      <c r="DS163"/>
      <c r="DT163"/>
    </row>
    <row r="164" spans="1:124" s="11" customFormat="1">
      <c r="A164" s="17"/>
      <c r="B164" s="11" t="s">
        <v>341</v>
      </c>
      <c r="J164" s="157"/>
      <c r="L164" s="144"/>
      <c r="M164" s="12"/>
      <c r="N164" s="12"/>
      <c r="O164" s="12"/>
      <c r="P164" s="12"/>
      <c r="Q164" s="12"/>
      <c r="R164" s="6">
        <v>0</v>
      </c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  <c r="AJ164" s="12"/>
      <c r="AK164" s="12"/>
      <c r="AL164" s="12"/>
      <c r="AM164" s="12"/>
      <c r="AN164" s="12"/>
      <c r="AO164" s="12"/>
      <c r="AP164" s="12"/>
      <c r="AQ164" s="12"/>
      <c r="AR164" s="12">
        <f>165893.1+86315.36</f>
        <v>252208.46000000002</v>
      </c>
      <c r="AS164" s="12"/>
      <c r="AT164" s="12">
        <v>49463.67</v>
      </c>
      <c r="AU164" s="12"/>
      <c r="AV164" s="12"/>
      <c r="AW164" s="12"/>
      <c r="AX164" s="12"/>
      <c r="AY164" s="12"/>
      <c r="AZ164" s="12"/>
      <c r="BA164" s="12"/>
      <c r="BB164" s="12"/>
      <c r="BC164" s="12"/>
      <c r="BD164" s="12"/>
      <c r="BE164" s="12"/>
      <c r="BF164" s="12"/>
      <c r="BG164" s="12"/>
      <c r="BH164" s="12"/>
      <c r="BI164" s="12"/>
      <c r="BJ164" s="12"/>
      <c r="BK164" s="12"/>
      <c r="BL164" s="12"/>
      <c r="BM164" s="12"/>
      <c r="BN164" s="12">
        <f>SUM(T164:BM164)</f>
        <v>301672.13</v>
      </c>
      <c r="BO164" s="12"/>
      <c r="BP164" s="12">
        <v>0</v>
      </c>
      <c r="BQ164" s="12"/>
      <c r="BR164" s="6">
        <f>IF(+R164-BN164+BP164&gt;0,R164-BN164+BP164,0)</f>
        <v>0</v>
      </c>
      <c r="BS164" s="12"/>
      <c r="BT164" s="6">
        <f>+BN164+BR164</f>
        <v>301672.13</v>
      </c>
      <c r="BU164" s="12"/>
      <c r="BV164" s="6">
        <f>+R164-BT164</f>
        <v>-301672.13</v>
      </c>
      <c r="BW164" s="12"/>
      <c r="BX164"/>
      <c r="BY164"/>
      <c r="BZ164"/>
      <c r="CA164"/>
      <c r="CB164"/>
      <c r="CC164"/>
      <c r="CD164"/>
      <c r="CE164"/>
      <c r="CF164"/>
      <c r="CG164"/>
      <c r="CH164"/>
      <c r="CI164"/>
      <c r="CJ164"/>
      <c r="CK164"/>
      <c r="CL164"/>
      <c r="CM164"/>
      <c r="CN164"/>
      <c r="CO164"/>
      <c r="CP164"/>
      <c r="CQ164"/>
      <c r="CR164"/>
      <c r="CS164"/>
      <c r="CT164"/>
      <c r="CU164"/>
      <c r="CV164"/>
      <c r="CW164"/>
      <c r="CX164"/>
      <c r="CY164"/>
      <c r="CZ164"/>
      <c r="DA164"/>
      <c r="DB164"/>
      <c r="DC164"/>
      <c r="DD164"/>
      <c r="DE164"/>
      <c r="DF164"/>
      <c r="DG164"/>
      <c r="DH164"/>
      <c r="DI164"/>
      <c r="DJ164"/>
      <c r="DK164"/>
      <c r="DL164"/>
      <c r="DM164"/>
      <c r="DN164"/>
      <c r="DO164"/>
      <c r="DP164"/>
      <c r="DQ164"/>
      <c r="DR164"/>
      <c r="DS164"/>
      <c r="DT164"/>
    </row>
    <row r="165" spans="1:124" s="11" customFormat="1">
      <c r="A165" s="17"/>
      <c r="B165" s="11" t="s">
        <v>121</v>
      </c>
      <c r="J165" s="157"/>
      <c r="L165" s="144" t="s">
        <v>203</v>
      </c>
      <c r="M165" s="12"/>
      <c r="N165" s="12">
        <v>500000</v>
      </c>
      <c r="O165" s="12"/>
      <c r="P165" s="12">
        <v>-300000</v>
      </c>
      <c r="Q165" s="12"/>
      <c r="R165" s="6">
        <v>400000</v>
      </c>
      <c r="S165" s="12"/>
      <c r="T165" s="12">
        <v>0</v>
      </c>
      <c r="U165" s="12"/>
      <c r="V165" s="12">
        <v>0</v>
      </c>
      <c r="W165" s="12"/>
      <c r="X165" s="12">
        <v>0</v>
      </c>
      <c r="Y165" s="12"/>
      <c r="Z165" s="12"/>
      <c r="AA165" s="12"/>
      <c r="AB165" s="12"/>
      <c r="AC165" s="12"/>
      <c r="AD165" s="12"/>
      <c r="AE165" s="12"/>
      <c r="AF165" s="12">
        <v>0</v>
      </c>
      <c r="AG165" s="12"/>
      <c r="AH165" s="12">
        <v>15169.98</v>
      </c>
      <c r="AI165" s="12"/>
      <c r="AJ165" s="12">
        <v>0</v>
      </c>
      <c r="AK165" s="12"/>
      <c r="AL165" s="12">
        <v>29399.49</v>
      </c>
      <c r="AM165" s="12"/>
      <c r="AN165" s="12">
        <v>20442.900000000001</v>
      </c>
      <c r="AO165" s="12"/>
      <c r="AP165" s="12">
        <v>10582.42</v>
      </c>
      <c r="AQ165" s="12"/>
      <c r="AR165" s="12">
        <f>589.73+2046.96+65709.82</f>
        <v>68346.510000000009</v>
      </c>
      <c r="AS165" s="12"/>
      <c r="AT165" s="12">
        <v>5360.34</v>
      </c>
      <c r="AU165" s="12"/>
      <c r="AV165" s="12">
        <v>13664.6</v>
      </c>
      <c r="AW165" s="12"/>
      <c r="AX165" s="12">
        <v>7710.95</v>
      </c>
      <c r="AY165" s="12"/>
      <c r="AZ165" s="12">
        <v>20000</v>
      </c>
      <c r="BA165" s="12"/>
      <c r="BB165" s="12">
        <v>2287.5</v>
      </c>
      <c r="BC165" s="12"/>
      <c r="BD165" s="12">
        <f>5660.15+105510.2+14897.92-6951.06</f>
        <v>119117.20999999999</v>
      </c>
      <c r="BE165" s="12"/>
      <c r="BF165" s="12">
        <v>0</v>
      </c>
      <c r="BG165" s="12"/>
      <c r="BH165" s="12">
        <v>0</v>
      </c>
      <c r="BI165" s="12"/>
      <c r="BJ165" s="12">
        <f>11000+30481</f>
        <v>41481</v>
      </c>
      <c r="BK165" s="12"/>
      <c r="BL165" s="12">
        <v>4040</v>
      </c>
      <c r="BM165" s="12"/>
      <c r="BN165" s="12">
        <f>SUM(T165:BM165)</f>
        <v>357602.9</v>
      </c>
      <c r="BO165" s="12"/>
      <c r="BP165" s="12"/>
      <c r="BQ165" s="12"/>
      <c r="BR165" s="6">
        <f>IF(+R165-BN165+BP165&gt;0,R165-BN165+BP165,0)</f>
        <v>42397.099999999977</v>
      </c>
      <c r="BS165" s="12"/>
      <c r="BT165" s="6">
        <f>+BN165+BR165</f>
        <v>400000</v>
      </c>
      <c r="BU165" s="12"/>
      <c r="BV165" s="6">
        <f>+R165-BT165</f>
        <v>0</v>
      </c>
      <c r="BW165" s="12"/>
      <c r="BX165"/>
      <c r="BY165"/>
      <c r="BZ165"/>
      <c r="CA165"/>
      <c r="CB165"/>
      <c r="CC165"/>
      <c r="CD165"/>
      <c r="CE165"/>
      <c r="CF165"/>
      <c r="CG165"/>
      <c r="CH165"/>
      <c r="CI165"/>
      <c r="CJ165"/>
      <c r="CK165"/>
      <c r="CL165"/>
      <c r="CM165"/>
      <c r="CN165"/>
      <c r="CO165"/>
      <c r="CP165"/>
      <c r="CQ165"/>
      <c r="CR165"/>
      <c r="CS165"/>
      <c r="CT165"/>
      <c r="CU165"/>
      <c r="CV165"/>
      <c r="CW165"/>
      <c r="CX165"/>
      <c r="CY165"/>
      <c r="CZ165"/>
      <c r="DA165"/>
      <c r="DB165"/>
      <c r="DC165"/>
      <c r="DD165"/>
      <c r="DE165"/>
      <c r="DF165"/>
      <c r="DG165"/>
      <c r="DH165"/>
      <c r="DI165"/>
      <c r="DJ165"/>
      <c r="DK165"/>
      <c r="DL165"/>
      <c r="DM165"/>
      <c r="DN165"/>
      <c r="DO165"/>
      <c r="DP165"/>
      <c r="DQ165"/>
      <c r="DR165"/>
      <c r="DS165"/>
      <c r="DT165"/>
    </row>
    <row r="166" spans="1:124" s="11" customFormat="1">
      <c r="A166" s="17"/>
      <c r="J166" s="157"/>
      <c r="L166" s="144"/>
      <c r="M166" s="12"/>
      <c r="N166" s="12"/>
      <c r="O166" s="12"/>
      <c r="P166" s="12">
        <v>5511</v>
      </c>
      <c r="Q166" s="12"/>
      <c r="R166" s="6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  <c r="AJ166" s="12"/>
      <c r="AK166" s="12"/>
      <c r="AL166" s="12"/>
      <c r="AM166" s="12"/>
      <c r="AN166" s="12"/>
      <c r="AO166" s="12"/>
      <c r="AP166" s="12"/>
      <c r="AQ166" s="12"/>
      <c r="AR166" s="12"/>
      <c r="AS166" s="12"/>
      <c r="AT166" s="12"/>
      <c r="AU166" s="12"/>
      <c r="AV166" s="12"/>
      <c r="AW166" s="12"/>
      <c r="AX166" s="12"/>
      <c r="AY166" s="12"/>
      <c r="AZ166" s="12"/>
      <c r="BA166" s="12"/>
      <c r="BB166" s="12"/>
      <c r="BC166" s="12"/>
      <c r="BD166" s="12"/>
      <c r="BE166" s="12"/>
      <c r="BF166" s="12"/>
      <c r="BG166" s="12"/>
      <c r="BH166" s="12"/>
      <c r="BI166" s="12"/>
      <c r="BJ166" s="12"/>
      <c r="BK166" s="12"/>
      <c r="BL166" s="12"/>
      <c r="BM166" s="12"/>
      <c r="BN166" s="12">
        <f>SUM(T166:BM166)</f>
        <v>0</v>
      </c>
      <c r="BO166" s="12"/>
      <c r="BP166" s="12">
        <v>0</v>
      </c>
      <c r="BQ166" s="12"/>
      <c r="BR166" s="6">
        <f>IF(+R166-BN166+BP166&gt;0,R166-BN166+BP166,0)</f>
        <v>0</v>
      </c>
      <c r="BS166" s="12"/>
      <c r="BT166" s="6">
        <f>+BN166+BR166</f>
        <v>0</v>
      </c>
      <c r="BU166" s="12"/>
      <c r="BV166" s="6">
        <f>+R166-BT166</f>
        <v>0</v>
      </c>
      <c r="BW166" s="12"/>
      <c r="BX166"/>
      <c r="BY166"/>
      <c r="BZ166"/>
      <c r="CA166"/>
      <c r="CB166"/>
      <c r="CC166"/>
      <c r="CD166"/>
      <c r="CE166"/>
      <c r="CF166"/>
      <c r="CG166"/>
      <c r="CH166"/>
      <c r="CI166"/>
      <c r="CJ166"/>
      <c r="CK166"/>
      <c r="CL166"/>
      <c r="CM166"/>
      <c r="CN166"/>
      <c r="CO166"/>
      <c r="CP166"/>
      <c r="CQ166"/>
      <c r="CR166"/>
      <c r="CS166"/>
      <c r="CT166"/>
      <c r="CU166"/>
      <c r="CV166"/>
      <c r="CW166"/>
      <c r="CX166"/>
      <c r="CY166"/>
      <c r="CZ166"/>
      <c r="DA166"/>
      <c r="DB166"/>
      <c r="DC166"/>
      <c r="DD166"/>
      <c r="DE166"/>
      <c r="DF166"/>
      <c r="DG166"/>
      <c r="DH166"/>
      <c r="DI166"/>
      <c r="DJ166"/>
      <c r="DK166"/>
      <c r="DL166"/>
      <c r="DM166"/>
      <c r="DN166"/>
      <c r="DO166"/>
      <c r="DP166"/>
      <c r="DQ166"/>
      <c r="DR166"/>
      <c r="DS166"/>
      <c r="DT166"/>
    </row>
    <row r="167" spans="1:124" s="21" customFormat="1">
      <c r="A167" s="58"/>
      <c r="B167" s="31" t="s">
        <v>41</v>
      </c>
      <c r="J167" s="8"/>
      <c r="L167" s="141"/>
      <c r="M167" s="9"/>
      <c r="N167" s="102">
        <f>SUM(N163:N166)</f>
        <v>500000</v>
      </c>
      <c r="O167" s="102">
        <f>SUM(O163:O166)</f>
        <v>0</v>
      </c>
      <c r="P167" s="102">
        <f>SUM(P163:P166)</f>
        <v>0</v>
      </c>
      <c r="Q167" s="102">
        <f>SUM(Q163:Q166)</f>
        <v>0</v>
      </c>
      <c r="R167" s="102">
        <f>SUM(R163:R166)</f>
        <v>400000</v>
      </c>
      <c r="S167" s="9"/>
      <c r="T167" s="102">
        <f>SUM(T163:T166)</f>
        <v>0</v>
      </c>
      <c r="U167" s="9"/>
      <c r="V167" s="102">
        <f>SUM(V163:V166)</f>
        <v>0</v>
      </c>
      <c r="W167" s="9"/>
      <c r="X167" s="102">
        <f>SUM(X163:X166)</f>
        <v>0</v>
      </c>
      <c r="Y167" s="9"/>
      <c r="Z167" s="102">
        <f>SUM(Z163:Z166)</f>
        <v>0</v>
      </c>
      <c r="AA167" s="9"/>
      <c r="AB167" s="102">
        <f>SUM(AB163:AB166)</f>
        <v>0</v>
      </c>
      <c r="AC167" s="9"/>
      <c r="AD167" s="102">
        <f>SUM(AD163:AD166)</f>
        <v>0</v>
      </c>
      <c r="AE167" s="9"/>
      <c r="AF167" s="102">
        <f>SUM(AF163:AF166)</f>
        <v>0</v>
      </c>
      <c r="AG167" s="9"/>
      <c r="AH167" s="102">
        <f>SUM(AH163:AH166)</f>
        <v>15169.98</v>
      </c>
      <c r="AI167" s="9"/>
      <c r="AJ167" s="102">
        <f>SUM(AJ163:AJ166)</f>
        <v>0</v>
      </c>
      <c r="AK167" s="9"/>
      <c r="AL167" s="102">
        <f>SUM(AL163:AL166)</f>
        <v>29399.49</v>
      </c>
      <c r="AM167" s="9"/>
      <c r="AN167" s="102">
        <f>SUM(AN163:AN166)</f>
        <v>20442.900000000001</v>
      </c>
      <c r="AO167" s="9"/>
      <c r="AP167" s="102">
        <f>SUM(AP163:AP166)</f>
        <v>10582.42</v>
      </c>
      <c r="AQ167" s="9"/>
      <c r="AR167" s="102">
        <f>SUM(AR163:AR166)</f>
        <v>320554.97000000003</v>
      </c>
      <c r="AS167" s="9"/>
      <c r="AT167" s="102">
        <f>SUM(AT163:AT166)</f>
        <v>54824.009999999995</v>
      </c>
      <c r="AU167" s="10"/>
      <c r="AV167" s="102">
        <f>SUM(AV163:AV166)</f>
        <v>13664.6</v>
      </c>
      <c r="AW167" s="10"/>
      <c r="AX167" s="102">
        <f>SUM(AX163:AX166)</f>
        <v>7710.95</v>
      </c>
      <c r="AY167" s="10"/>
      <c r="AZ167" s="102">
        <f>SUM(AZ163:AZ166)</f>
        <v>20000</v>
      </c>
      <c r="BA167" s="10"/>
      <c r="BB167" s="102">
        <f>SUM(BB163:BB166)</f>
        <v>2287.5</v>
      </c>
      <c r="BC167" s="10"/>
      <c r="BD167" s="102">
        <f>SUM(BD163:BD166)</f>
        <v>119117.20999999999</v>
      </c>
      <c r="BE167" s="10"/>
      <c r="BF167" s="102">
        <f>SUM(BF163:BF166)</f>
        <v>0</v>
      </c>
      <c r="BG167" s="10"/>
      <c r="BH167" s="102">
        <f>SUM(BH163:BH166)</f>
        <v>0</v>
      </c>
      <c r="BI167" s="10"/>
      <c r="BJ167" s="102">
        <f>SUM(BJ163:BJ166)</f>
        <v>41481</v>
      </c>
      <c r="BK167" s="10"/>
      <c r="BL167" s="102">
        <f>SUM(BL163:BL166)</f>
        <v>4040</v>
      </c>
      <c r="BM167" s="9"/>
      <c r="BN167" s="102">
        <f>SUM(BN163:BN166)</f>
        <v>659275.03</v>
      </c>
      <c r="BO167" s="9"/>
      <c r="BP167" s="102">
        <f>SUM(BP163:BP166)</f>
        <v>0</v>
      </c>
      <c r="BQ167" s="9"/>
      <c r="BR167" s="102">
        <f>SUM(BR163:BR166)</f>
        <v>42397.099999999977</v>
      </c>
      <c r="BS167" s="9"/>
      <c r="BT167" s="102">
        <f>SUM(BT163:BT166)</f>
        <v>701672.13</v>
      </c>
      <c r="BU167" s="9"/>
      <c r="BV167" s="102">
        <f>SUM(BV163:BV166)</f>
        <v>-301672.13</v>
      </c>
      <c r="BW167" s="9"/>
      <c r="BX167"/>
      <c r="BY167"/>
      <c r="BZ167"/>
      <c r="CA167"/>
      <c r="CB167"/>
      <c r="CC167"/>
      <c r="CD167"/>
      <c r="CE167"/>
      <c r="CF167"/>
      <c r="CG167"/>
      <c r="CH167"/>
      <c r="CI167"/>
      <c r="CJ167"/>
      <c r="CK167"/>
      <c r="CL167"/>
      <c r="CM167"/>
      <c r="CN167"/>
      <c r="CO167"/>
      <c r="CP167"/>
      <c r="CQ167"/>
      <c r="CR167"/>
      <c r="CS167"/>
      <c r="CT167"/>
      <c r="CU167"/>
      <c r="CV167"/>
      <c r="CW167"/>
      <c r="CX167"/>
      <c r="CY167"/>
      <c r="CZ167"/>
      <c r="DA167"/>
      <c r="DB167"/>
      <c r="DC167"/>
      <c r="DD167"/>
      <c r="DE167"/>
      <c r="DF167"/>
      <c r="DG167"/>
      <c r="DH167"/>
      <c r="DI167"/>
      <c r="DJ167"/>
      <c r="DK167"/>
      <c r="DL167"/>
      <c r="DM167"/>
      <c r="DN167"/>
      <c r="DO167"/>
      <c r="DP167"/>
      <c r="DQ167"/>
      <c r="DR167"/>
      <c r="DS167"/>
      <c r="DT167"/>
    </row>
    <row r="168" spans="1:124" s="21" customFormat="1">
      <c r="A168" s="58"/>
      <c r="B168" s="31"/>
      <c r="J168" s="8"/>
      <c r="L168" s="141"/>
      <c r="M168" s="9"/>
      <c r="N168" s="10"/>
      <c r="O168" s="10"/>
      <c r="P168" s="10"/>
      <c r="Q168" s="10"/>
      <c r="R168" s="10"/>
      <c r="S168" s="9"/>
      <c r="T168" s="10"/>
      <c r="U168" s="9"/>
      <c r="V168" s="10"/>
      <c r="W168" s="9"/>
      <c r="X168" s="10"/>
      <c r="Y168" s="9"/>
      <c r="Z168" s="10"/>
      <c r="AA168" s="9"/>
      <c r="AB168" s="10"/>
      <c r="AC168" s="9"/>
      <c r="AD168" s="10"/>
      <c r="AE168" s="9"/>
      <c r="AF168" s="10"/>
      <c r="AG168" s="9"/>
      <c r="AH168" s="10"/>
      <c r="AI168" s="9"/>
      <c r="AJ168" s="10"/>
      <c r="AK168" s="9"/>
      <c r="AL168" s="10"/>
      <c r="AM168" s="9"/>
      <c r="AN168" s="10"/>
      <c r="AO168" s="9"/>
      <c r="AP168" s="10"/>
      <c r="AQ168" s="9"/>
      <c r="AR168" s="10"/>
      <c r="AS168" s="9"/>
      <c r="AT168" s="10"/>
      <c r="AU168" s="10"/>
      <c r="AV168" s="10"/>
      <c r="AW168" s="10"/>
      <c r="AX168" s="10"/>
      <c r="AY168" s="10"/>
      <c r="AZ168" s="10"/>
      <c r="BA168" s="10"/>
      <c r="BB168" s="10"/>
      <c r="BC168" s="10"/>
      <c r="BD168" s="10"/>
      <c r="BE168" s="10"/>
      <c r="BF168" s="10"/>
      <c r="BG168" s="10"/>
      <c r="BH168" s="10"/>
      <c r="BI168" s="10"/>
      <c r="BJ168" s="10"/>
      <c r="BK168" s="10"/>
      <c r="BL168" s="10"/>
      <c r="BM168" s="9"/>
      <c r="BN168" s="10"/>
      <c r="BO168" s="9"/>
      <c r="BP168" s="10"/>
      <c r="BQ168" s="9"/>
      <c r="BR168" s="10"/>
      <c r="BS168" s="9"/>
      <c r="BT168" s="10"/>
      <c r="BU168" s="9"/>
      <c r="BV168" s="10"/>
      <c r="BW168" s="9"/>
      <c r="BX168"/>
      <c r="BY168"/>
      <c r="BZ168"/>
      <c r="CA168"/>
      <c r="CB168"/>
      <c r="CC168"/>
      <c r="CD168"/>
      <c r="CE168"/>
      <c r="CF168"/>
      <c r="CG168"/>
      <c r="CH168"/>
      <c r="CI168"/>
      <c r="CJ168"/>
      <c r="CK168"/>
      <c r="CL168"/>
      <c r="CM168"/>
      <c r="CN168"/>
      <c r="CO168"/>
      <c r="CP168"/>
      <c r="CQ168"/>
      <c r="CR168"/>
      <c r="CS168"/>
      <c r="CT168"/>
      <c r="CU168"/>
      <c r="CV168"/>
      <c r="CW168"/>
      <c r="CX168"/>
      <c r="CY168"/>
      <c r="CZ168"/>
      <c r="DA168"/>
      <c r="DB168"/>
      <c r="DC168"/>
      <c r="DD168"/>
      <c r="DE168"/>
      <c r="DF168"/>
      <c r="DG168"/>
      <c r="DH168"/>
      <c r="DI168"/>
      <c r="DJ168"/>
      <c r="DK168"/>
      <c r="DL168"/>
      <c r="DM168"/>
      <c r="DN168"/>
      <c r="DO168"/>
      <c r="DP168"/>
      <c r="DQ168"/>
      <c r="DR168"/>
      <c r="DS168"/>
      <c r="DT168"/>
    </row>
    <row r="169" spans="1:124" s="31" customFormat="1">
      <c r="A169" s="58" t="s">
        <v>249</v>
      </c>
      <c r="J169" s="156"/>
      <c r="L169" s="143" t="s">
        <v>202</v>
      </c>
      <c r="M169" s="10"/>
      <c r="N169" s="10">
        <v>10922239</v>
      </c>
      <c r="O169" s="10"/>
      <c r="P169" s="10">
        <f>10969926-N169</f>
        <v>47687</v>
      </c>
      <c r="Q169" s="10"/>
      <c r="R169" s="9">
        <v>10032325</v>
      </c>
      <c r="S169" s="10"/>
      <c r="T169" s="10">
        <v>413818</v>
      </c>
      <c r="U169" s="10"/>
      <c r="V169" s="10">
        <f>250563-10722</f>
        <v>239841</v>
      </c>
      <c r="W169" s="10"/>
      <c r="X169" s="10">
        <v>375473</v>
      </c>
      <c r="Y169" s="10"/>
      <c r="Z169" s="10">
        <f>11622+362544-6</f>
        <v>374160</v>
      </c>
      <c r="AA169" s="10"/>
      <c r="AB169" s="10">
        <v>374175</v>
      </c>
      <c r="AC169" s="10"/>
      <c r="AD169" s="10">
        <f>479817-6077</f>
        <v>473740</v>
      </c>
      <c r="AE169" s="10"/>
      <c r="AF169" s="10">
        <f>[1]Wheatland!$I$39</f>
        <v>431577.41862083337</v>
      </c>
      <c r="AG169" s="10"/>
      <c r="AH169" s="10">
        <f>[1]Wheatland!$J$39</f>
        <v>437225.48213836289</v>
      </c>
      <c r="AI169" s="10"/>
      <c r="AJ169" s="10">
        <f>[1]Wheatland!$K$39</f>
        <v>445286.67641661229</v>
      </c>
      <c r="AK169" s="10"/>
      <c r="AL169" s="10">
        <f>[1]Wheatland!$L$39</f>
        <v>454783</v>
      </c>
      <c r="AM169" s="10"/>
      <c r="AN169" s="10">
        <f>[1]Wheatland!$M$39</f>
        <v>462626.31550692458</v>
      </c>
      <c r="AO169" s="10"/>
      <c r="AP169" s="10">
        <f>[1]Wheatland!$N$39</f>
        <v>491955.34096592036</v>
      </c>
      <c r="AQ169" s="10"/>
      <c r="AR169" s="10">
        <f>[1]Wheatland!$O$39</f>
        <v>516340</v>
      </c>
      <c r="AS169" s="10"/>
      <c r="AT169" s="10">
        <f>[1]Wheatland!$P$39</f>
        <v>563836.3251100413</v>
      </c>
      <c r="AU169" s="10"/>
      <c r="AV169" s="10">
        <f>[1]Wheatland!$Q$39</f>
        <v>615994.85825994285</v>
      </c>
      <c r="AW169" s="10"/>
      <c r="AX169" s="10">
        <f>[1]Wheatland!$R$39</f>
        <v>668433.20015885099</v>
      </c>
      <c r="AY169" s="10"/>
      <c r="AZ169" s="10">
        <v>710982</v>
      </c>
      <c r="BA169" s="10"/>
      <c r="BB169" s="10">
        <f>[1]Wheatland!$T$39</f>
        <v>720582.02993748907</v>
      </c>
      <c r="BC169" s="10"/>
      <c r="BD169" s="10">
        <v>229734.42318020624</v>
      </c>
      <c r="BE169" s="10"/>
      <c r="BF169" s="10">
        <v>0</v>
      </c>
      <c r="BG169" s="10"/>
      <c r="BH169" s="10">
        <v>0</v>
      </c>
      <c r="BI169" s="10"/>
      <c r="BJ169" s="10">
        <v>0</v>
      </c>
      <c r="BK169" s="10"/>
      <c r="BL169" s="10">
        <v>0</v>
      </c>
      <c r="BM169" s="10"/>
      <c r="BN169" s="10">
        <f>SUM(T169:BM169)</f>
        <v>9000564.070295183</v>
      </c>
      <c r="BO169" s="10"/>
      <c r="BP169" s="10">
        <v>-984592</v>
      </c>
      <c r="BQ169" s="10"/>
      <c r="BR169" s="6"/>
      <c r="BS169" s="10"/>
      <c r="BT169" s="9">
        <f>+BN169+BR169</f>
        <v>9000564.070295183</v>
      </c>
      <c r="BU169" s="10"/>
      <c r="BV169" s="9">
        <f>+R169-BT169</f>
        <v>1031760.929704817</v>
      </c>
      <c r="BW169" s="10"/>
      <c r="BX169"/>
      <c r="BY169"/>
      <c r="BZ169"/>
      <c r="CA169"/>
      <c r="CB169"/>
      <c r="CC169"/>
      <c r="CD169"/>
      <c r="CE169"/>
      <c r="CF169"/>
      <c r="CG169"/>
      <c r="CH169"/>
      <c r="CI169"/>
      <c r="CJ169"/>
      <c r="CK169"/>
      <c r="CL169"/>
      <c r="CM169"/>
      <c r="CN169"/>
      <c r="CO169"/>
      <c r="CP169"/>
      <c r="CQ169"/>
      <c r="CR169"/>
      <c r="CS169"/>
      <c r="CT169"/>
      <c r="CU169"/>
      <c r="CV169"/>
      <c r="CW169"/>
      <c r="CX169"/>
      <c r="CY169"/>
      <c r="CZ169"/>
      <c r="DA169"/>
      <c r="DB169"/>
      <c r="DC169"/>
      <c r="DD169"/>
      <c r="DE169"/>
      <c r="DF169"/>
      <c r="DG169"/>
      <c r="DH169"/>
      <c r="DI169"/>
      <c r="DJ169"/>
      <c r="DK169"/>
      <c r="DL169"/>
      <c r="DM169"/>
      <c r="DN169"/>
      <c r="DO169"/>
      <c r="DP169"/>
      <c r="DQ169"/>
      <c r="DR169"/>
      <c r="DS169"/>
      <c r="DT169"/>
    </row>
    <row r="170" spans="1:124" s="21" customFormat="1">
      <c r="A170" s="58"/>
      <c r="B170" s="31"/>
      <c r="J170" s="8"/>
      <c r="L170" s="141"/>
      <c r="M170" s="9"/>
      <c r="N170" s="10"/>
      <c r="O170" s="9"/>
      <c r="P170" s="10"/>
      <c r="Q170" s="9"/>
      <c r="R170" s="10"/>
      <c r="S170" s="9"/>
      <c r="T170" s="10"/>
      <c r="U170" s="9"/>
      <c r="V170" s="10"/>
      <c r="W170" s="9"/>
      <c r="X170" s="10"/>
      <c r="Y170" s="9"/>
      <c r="Z170" s="10"/>
      <c r="AA170" s="9"/>
      <c r="AB170" s="10"/>
      <c r="AC170" s="9"/>
      <c r="AD170" s="10"/>
      <c r="AE170" s="9"/>
      <c r="AF170" s="10"/>
      <c r="AG170" s="9"/>
      <c r="AH170" s="10"/>
      <c r="AI170" s="9"/>
      <c r="AJ170" s="10"/>
      <c r="AK170" s="9"/>
      <c r="AL170" s="10"/>
      <c r="AM170" s="9"/>
      <c r="AN170" s="10"/>
      <c r="AO170" s="9"/>
      <c r="AP170" s="10"/>
      <c r="AQ170" s="9"/>
      <c r="AR170" s="10"/>
      <c r="AS170" s="9"/>
      <c r="AT170" s="10"/>
      <c r="AU170" s="10"/>
      <c r="AV170" s="10"/>
      <c r="AW170" s="10"/>
      <c r="AX170" s="10"/>
      <c r="AY170" s="10"/>
      <c r="AZ170" s="10"/>
      <c r="BA170" s="10"/>
      <c r="BB170" s="10"/>
      <c r="BC170" s="10"/>
      <c r="BD170" s="10"/>
      <c r="BE170" s="10"/>
      <c r="BF170" s="10"/>
      <c r="BG170" s="10"/>
      <c r="BH170" s="10"/>
      <c r="BI170" s="10"/>
      <c r="BJ170" s="10"/>
      <c r="BK170" s="10"/>
      <c r="BL170" s="10"/>
      <c r="BM170" s="9"/>
      <c r="BN170" s="10"/>
      <c r="BO170" s="9"/>
      <c r="BP170" s="10"/>
      <c r="BQ170" s="9"/>
      <c r="BR170" s="10"/>
      <c r="BS170" s="9"/>
      <c r="BT170" s="10"/>
      <c r="BU170" s="9"/>
      <c r="BV170" s="10"/>
      <c r="BW170" s="9"/>
      <c r="BX170"/>
      <c r="BY170"/>
      <c r="BZ170"/>
      <c r="CA170"/>
      <c r="CB170"/>
      <c r="CC170"/>
      <c r="CD170"/>
      <c r="CE170"/>
      <c r="CF170"/>
      <c r="CG170"/>
      <c r="CH170"/>
      <c r="CI170"/>
      <c r="CJ170"/>
      <c r="CK170"/>
      <c r="CL170"/>
      <c r="CM170"/>
      <c r="CN170"/>
      <c r="CO170"/>
      <c r="CP170"/>
      <c r="CQ170"/>
      <c r="CR170"/>
      <c r="CS170"/>
      <c r="CT170"/>
      <c r="CU170"/>
      <c r="CV170"/>
      <c r="CW170"/>
      <c r="CX170"/>
      <c r="CY170"/>
      <c r="CZ170"/>
      <c r="DA170"/>
      <c r="DB170"/>
      <c r="DC170"/>
      <c r="DD170"/>
      <c r="DE170"/>
      <c r="DF170"/>
      <c r="DG170"/>
      <c r="DH170"/>
      <c r="DI170"/>
      <c r="DJ170"/>
      <c r="DK170"/>
      <c r="DL170"/>
      <c r="DM170"/>
      <c r="DN170"/>
      <c r="DO170"/>
      <c r="DP170"/>
      <c r="DQ170"/>
      <c r="DR170"/>
      <c r="DS170"/>
      <c r="DT170"/>
    </row>
    <row r="171" spans="1:124" s="105" customFormat="1">
      <c r="A171" s="63" t="s">
        <v>248</v>
      </c>
      <c r="B171" s="54"/>
      <c r="J171" s="155"/>
      <c r="L171" s="142"/>
      <c r="M171" s="13"/>
      <c r="N171" s="120"/>
      <c r="O171" s="13"/>
      <c r="P171" s="120"/>
      <c r="Q171" s="13"/>
      <c r="R171" s="120">
        <f>R169+R160+R151+R149+R147+R141+R139+R137+R130+R123+R121+R119+R117+R115+R167</f>
        <v>23583842</v>
      </c>
      <c r="S171" s="120">
        <f t="shared" ref="S171:BW171" si="31">S169+S160+S151+S149+S147+S141+S139+S137+S130+S123+S121+S119+S117+S115+S167</f>
        <v>0</v>
      </c>
      <c r="T171" s="120">
        <f t="shared" si="31"/>
        <v>413818</v>
      </c>
      <c r="U171" s="120">
        <f t="shared" si="31"/>
        <v>0</v>
      </c>
      <c r="V171" s="120">
        <f t="shared" si="31"/>
        <v>241018.53</v>
      </c>
      <c r="W171" s="120">
        <f t="shared" si="31"/>
        <v>0</v>
      </c>
      <c r="X171" s="120">
        <f t="shared" si="31"/>
        <v>405396.93</v>
      </c>
      <c r="Y171" s="120">
        <f t="shared" si="31"/>
        <v>0</v>
      </c>
      <c r="Z171" s="120">
        <f t="shared" si="31"/>
        <v>440729.95</v>
      </c>
      <c r="AA171" s="120">
        <f t="shared" si="31"/>
        <v>0</v>
      </c>
      <c r="AB171" s="120">
        <f t="shared" si="31"/>
        <v>471664.43</v>
      </c>
      <c r="AC171" s="120">
        <f t="shared" si="31"/>
        <v>0</v>
      </c>
      <c r="AD171" s="120">
        <f t="shared" si="31"/>
        <v>518948.68</v>
      </c>
      <c r="AE171" s="120">
        <f t="shared" si="31"/>
        <v>0</v>
      </c>
      <c r="AF171" s="120">
        <f t="shared" si="31"/>
        <v>573248.10862083337</v>
      </c>
      <c r="AG171" s="120">
        <f t="shared" si="31"/>
        <v>0</v>
      </c>
      <c r="AH171" s="120">
        <f t="shared" si="31"/>
        <v>580523.05213836278</v>
      </c>
      <c r="AI171" s="120">
        <f t="shared" si="31"/>
        <v>0</v>
      </c>
      <c r="AJ171" s="120">
        <f t="shared" si="31"/>
        <v>551485.42641661223</v>
      </c>
      <c r="AK171" s="120">
        <f t="shared" si="31"/>
        <v>0</v>
      </c>
      <c r="AL171" s="120">
        <f t="shared" si="31"/>
        <v>1502808.93</v>
      </c>
      <c r="AM171" s="120">
        <f t="shared" si="31"/>
        <v>0</v>
      </c>
      <c r="AN171" s="120">
        <f t="shared" si="31"/>
        <v>634977.90550692461</v>
      </c>
      <c r="AO171" s="120">
        <f t="shared" si="31"/>
        <v>0</v>
      </c>
      <c r="AP171" s="120">
        <f t="shared" si="31"/>
        <v>710648.81096592033</v>
      </c>
      <c r="AQ171" s="120"/>
      <c r="AR171" s="120">
        <f t="shared" si="31"/>
        <v>2133337.75</v>
      </c>
      <c r="AS171" s="120">
        <f t="shared" si="31"/>
        <v>0</v>
      </c>
      <c r="AT171" s="120">
        <f t="shared" si="31"/>
        <v>968319.9451100413</v>
      </c>
      <c r="AU171" s="120">
        <f t="shared" si="31"/>
        <v>0</v>
      </c>
      <c r="AV171" s="120">
        <f t="shared" si="31"/>
        <v>1280665.808259943</v>
      </c>
      <c r="AW171" s="120">
        <f t="shared" si="31"/>
        <v>0</v>
      </c>
      <c r="AX171" s="120">
        <f t="shared" si="31"/>
        <v>1367991.7801588511</v>
      </c>
      <c r="AY171" s="120">
        <f t="shared" si="31"/>
        <v>0</v>
      </c>
      <c r="AZ171" s="120">
        <f t="shared" si="31"/>
        <v>1135448.07</v>
      </c>
      <c r="BA171" s="120">
        <f t="shared" si="31"/>
        <v>0</v>
      </c>
      <c r="BB171" s="120">
        <f t="shared" si="31"/>
        <v>1937714.9999374892</v>
      </c>
      <c r="BC171" s="120">
        <f t="shared" si="31"/>
        <v>0</v>
      </c>
      <c r="BD171" s="120">
        <f t="shared" si="31"/>
        <v>381367.14318020619</v>
      </c>
      <c r="BE171" s="120">
        <f t="shared" si="31"/>
        <v>0</v>
      </c>
      <c r="BF171" s="120">
        <f t="shared" si="31"/>
        <v>488231.43999999994</v>
      </c>
      <c r="BG171" s="120">
        <f t="shared" si="31"/>
        <v>0</v>
      </c>
      <c r="BH171" s="120">
        <f t="shared" si="31"/>
        <v>249879.07999999996</v>
      </c>
      <c r="BI171" s="120">
        <f t="shared" si="31"/>
        <v>0</v>
      </c>
      <c r="BJ171" s="120">
        <f t="shared" si="31"/>
        <v>170423</v>
      </c>
      <c r="BK171" s="120">
        <f>BK169+BK160+BK151+BK149+BK147+BK141+BK139+BK137+BK130+BK123+BK121+BK119+BK117+BK115+BK167</f>
        <v>0</v>
      </c>
      <c r="BL171" s="120">
        <f>BL169+BL160+BL151+BL149+BL147+BL141+BL139+BL137+BL130+BL123+BL121+BL119+BL117+BL115+BL167</f>
        <v>507802</v>
      </c>
      <c r="BM171" s="120">
        <f t="shared" si="31"/>
        <v>0</v>
      </c>
      <c r="BN171" s="120">
        <f t="shared" si="31"/>
        <v>17666449.770295184</v>
      </c>
      <c r="BO171" s="120">
        <f t="shared" si="31"/>
        <v>0</v>
      </c>
      <c r="BP171" s="120">
        <f t="shared" si="31"/>
        <v>-4543771</v>
      </c>
      <c r="BQ171" s="120">
        <f t="shared" si="31"/>
        <v>0</v>
      </c>
      <c r="BR171" s="120">
        <f t="shared" si="31"/>
        <v>3260060.68</v>
      </c>
      <c r="BS171" s="120">
        <f t="shared" si="31"/>
        <v>0</v>
      </c>
      <c r="BT171" s="120">
        <f t="shared" si="31"/>
        <v>20926510.45029518</v>
      </c>
      <c r="BU171" s="120">
        <f t="shared" si="31"/>
        <v>0</v>
      </c>
      <c r="BV171" s="120">
        <f t="shared" si="31"/>
        <v>2657331.5497048171</v>
      </c>
      <c r="BW171" s="120">
        <f t="shared" si="31"/>
        <v>0</v>
      </c>
      <c r="BX171"/>
      <c r="BY171"/>
      <c r="BZ171"/>
      <c r="CA171"/>
      <c r="CB171"/>
      <c r="CC171"/>
      <c r="CD171"/>
      <c r="CE171"/>
      <c r="CF171"/>
      <c r="CG171"/>
      <c r="CH171"/>
      <c r="CI171"/>
      <c r="CJ171"/>
      <c r="CK171"/>
      <c r="CL171"/>
      <c r="CM171"/>
      <c r="CN171"/>
      <c r="CO171"/>
      <c r="CP171"/>
      <c r="CQ171"/>
      <c r="CR171"/>
      <c r="CS171"/>
      <c r="CT171"/>
      <c r="CU171"/>
      <c r="CV171"/>
      <c r="CW171"/>
      <c r="CX171"/>
      <c r="CY171"/>
      <c r="CZ171"/>
      <c r="DA171"/>
      <c r="DB171"/>
      <c r="DC171"/>
      <c r="DD171"/>
      <c r="DE171"/>
      <c r="DF171"/>
      <c r="DG171"/>
      <c r="DH171"/>
      <c r="DI171"/>
      <c r="DJ171"/>
      <c r="DK171"/>
      <c r="DL171"/>
      <c r="DM171"/>
      <c r="DN171"/>
      <c r="DO171"/>
      <c r="DP171"/>
      <c r="DQ171"/>
      <c r="DR171"/>
      <c r="DS171"/>
      <c r="DT171"/>
    </row>
    <row r="172" spans="1:124" s="21" customFormat="1">
      <c r="A172" s="58"/>
      <c r="B172" s="31"/>
      <c r="J172" s="8"/>
      <c r="L172" s="141"/>
      <c r="M172" s="9"/>
      <c r="N172" s="10"/>
      <c r="O172" s="9"/>
      <c r="P172" s="10"/>
      <c r="Q172" s="9"/>
      <c r="R172" s="10"/>
      <c r="S172" s="9"/>
      <c r="T172" s="10"/>
      <c r="U172" s="9"/>
      <c r="V172" s="10"/>
      <c r="W172" s="9"/>
      <c r="X172" s="10"/>
      <c r="Y172" s="9"/>
      <c r="Z172" s="10"/>
      <c r="AA172" s="9"/>
      <c r="AB172" s="10"/>
      <c r="AC172" s="9"/>
      <c r="AD172" s="10"/>
      <c r="AE172" s="9"/>
      <c r="AF172" s="10"/>
      <c r="AG172" s="9"/>
      <c r="AH172" s="10"/>
      <c r="AI172" s="9"/>
      <c r="AJ172" s="10"/>
      <c r="AK172" s="9"/>
      <c r="AL172" s="10"/>
      <c r="AM172" s="9"/>
      <c r="AN172" s="10"/>
      <c r="AO172" s="9"/>
      <c r="AP172" s="10"/>
      <c r="AQ172" s="9"/>
      <c r="AR172" s="10"/>
      <c r="AS172" s="9"/>
      <c r="AT172" s="10"/>
      <c r="AU172" s="10"/>
      <c r="AV172" s="10"/>
      <c r="AW172" s="10"/>
      <c r="AX172" s="10"/>
      <c r="AY172" s="10"/>
      <c r="AZ172" s="10"/>
      <c r="BA172" s="10"/>
      <c r="BB172" s="10"/>
      <c r="BC172" s="10"/>
      <c r="BD172" s="10"/>
      <c r="BE172" s="10"/>
      <c r="BF172" s="10"/>
      <c r="BG172" s="10"/>
      <c r="BH172" s="10"/>
      <c r="BI172" s="10"/>
      <c r="BJ172" s="10"/>
      <c r="BK172" s="10"/>
      <c r="BL172" s="10"/>
      <c r="BM172" s="9"/>
      <c r="BN172" s="10"/>
      <c r="BO172" s="9"/>
      <c r="BP172" s="10"/>
      <c r="BQ172" s="9"/>
      <c r="BR172" s="10"/>
      <c r="BS172" s="9"/>
      <c r="BT172" s="10"/>
      <c r="BU172" s="9"/>
      <c r="BV172" s="10"/>
      <c r="BW172" s="9"/>
      <c r="BX172"/>
      <c r="BY172"/>
      <c r="BZ172"/>
      <c r="CA172"/>
      <c r="CB172"/>
      <c r="CC172"/>
      <c r="CD172"/>
      <c r="CE172"/>
      <c r="CF172"/>
      <c r="CG172"/>
      <c r="CH172"/>
      <c r="CI172"/>
      <c r="CJ172"/>
      <c r="CK172"/>
      <c r="CL172"/>
      <c r="CM172"/>
      <c r="CN172"/>
      <c r="CO172"/>
      <c r="CP172"/>
      <c r="CQ172"/>
      <c r="CR172"/>
      <c r="CS172"/>
      <c r="CT172"/>
      <c r="CU172"/>
      <c r="CV172"/>
      <c r="CW172"/>
      <c r="CX172"/>
      <c r="CY172"/>
      <c r="CZ172"/>
      <c r="DA172"/>
      <c r="DB172"/>
      <c r="DC172"/>
      <c r="DD172"/>
      <c r="DE172"/>
      <c r="DF172"/>
      <c r="DG172"/>
      <c r="DH172"/>
      <c r="DI172"/>
      <c r="DJ172"/>
      <c r="DK172"/>
      <c r="DL172"/>
      <c r="DM172"/>
      <c r="DN172"/>
      <c r="DO172"/>
      <c r="DP172"/>
      <c r="DQ172"/>
      <c r="DR172"/>
      <c r="DS172"/>
      <c r="DT172"/>
    </row>
    <row r="173" spans="1:124" s="21" customFormat="1">
      <c r="A173" s="58" t="s">
        <v>190</v>
      </c>
      <c r="B173" s="31"/>
      <c r="J173" s="8"/>
      <c r="L173" s="141" t="s">
        <v>202</v>
      </c>
      <c r="M173" s="9"/>
      <c r="N173" s="9">
        <v>5395729</v>
      </c>
      <c r="O173" s="9"/>
      <c r="P173" s="9">
        <f>5463580+-N173</f>
        <v>67851</v>
      </c>
      <c r="Q173" s="9"/>
      <c r="R173" s="9">
        <f>3088152.1+236000</f>
        <v>3324152.1</v>
      </c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  <c r="AJ173" s="9"/>
      <c r="AK173" s="9"/>
      <c r="AL173" s="9"/>
      <c r="AM173" s="9"/>
      <c r="AN173" s="9"/>
      <c r="AO173" s="9"/>
      <c r="AP173" s="9"/>
      <c r="AQ173" s="9"/>
      <c r="AR173" s="9"/>
      <c r="AS173" s="9"/>
      <c r="AT173" s="9"/>
      <c r="AU173" s="9"/>
      <c r="AV173" s="9"/>
      <c r="AW173" s="9"/>
      <c r="AX173" s="9"/>
      <c r="AY173" s="9"/>
      <c r="AZ173" s="9"/>
      <c r="BA173" s="9"/>
      <c r="BB173" s="9"/>
      <c r="BC173" s="9"/>
      <c r="BD173" s="9"/>
      <c r="BE173" s="9"/>
      <c r="BF173" s="9"/>
      <c r="BG173" s="9"/>
      <c r="BH173" s="9"/>
      <c r="BI173" s="9"/>
      <c r="BJ173" s="9"/>
      <c r="BK173" s="9"/>
      <c r="BL173" s="9"/>
      <c r="BM173" s="9"/>
      <c r="BN173" s="10"/>
      <c r="BO173" s="9">
        <v>2030320</v>
      </c>
      <c r="BP173" s="9">
        <v>-3324152</v>
      </c>
      <c r="BQ173" s="9">
        <v>2030320</v>
      </c>
      <c r="BR173" s="6">
        <f>IF(+R173-BN173+BP173&gt;0,R173-BN173+BP173,0)</f>
        <v>0.10000000009313226</v>
      </c>
      <c r="BS173" s="9">
        <v>2030320</v>
      </c>
      <c r="BT173" s="9">
        <f>+BN173+BR173</f>
        <v>0.10000000009313226</v>
      </c>
      <c r="BU173" s="9">
        <v>2030320</v>
      </c>
      <c r="BV173" s="6">
        <f>+R173-BT173</f>
        <v>3324152</v>
      </c>
      <c r="BW173" s="9"/>
      <c r="BX173"/>
      <c r="BY173"/>
      <c r="BZ173"/>
      <c r="CA173"/>
      <c r="CB173"/>
      <c r="CC173"/>
      <c r="CD173"/>
      <c r="CE173"/>
      <c r="CF173"/>
      <c r="CG173"/>
      <c r="CH173"/>
      <c r="CI173"/>
      <c r="CJ173"/>
      <c r="CK173"/>
      <c r="CL173"/>
      <c r="CM173"/>
      <c r="CN173"/>
      <c r="CO173"/>
      <c r="CP173"/>
      <c r="CQ173"/>
      <c r="CR173"/>
      <c r="CS173"/>
      <c r="CT173"/>
      <c r="CU173"/>
      <c r="CV173"/>
      <c r="CW173"/>
      <c r="CX173"/>
      <c r="CY173"/>
      <c r="CZ173"/>
      <c r="DA173"/>
      <c r="DB173"/>
      <c r="DC173"/>
      <c r="DD173"/>
      <c r="DE173"/>
      <c r="DF173"/>
      <c r="DG173"/>
      <c r="DH173"/>
      <c r="DI173"/>
      <c r="DJ173"/>
      <c r="DK173"/>
      <c r="DL173"/>
      <c r="DM173"/>
      <c r="DN173"/>
      <c r="DO173"/>
      <c r="DP173"/>
      <c r="DQ173"/>
      <c r="DR173"/>
      <c r="DS173"/>
      <c r="DT173"/>
    </row>
    <row r="174" spans="1:124" s="21" customFormat="1">
      <c r="A174" s="58"/>
      <c r="B174" s="31"/>
      <c r="J174" s="8"/>
      <c r="L174" s="141"/>
      <c r="M174" s="9"/>
      <c r="N174" s="10"/>
      <c r="O174" s="9"/>
      <c r="P174" s="10"/>
      <c r="Q174" s="9"/>
      <c r="R174" s="10"/>
      <c r="S174" s="9"/>
      <c r="T174" s="10"/>
      <c r="U174" s="9"/>
      <c r="V174" s="10"/>
      <c r="W174" s="9"/>
      <c r="X174" s="10"/>
      <c r="Y174" s="9"/>
      <c r="Z174" s="10"/>
      <c r="AA174" s="9"/>
      <c r="AB174" s="10"/>
      <c r="AC174" s="9"/>
      <c r="AD174" s="10"/>
      <c r="AE174" s="9"/>
      <c r="AF174" s="10"/>
      <c r="AG174" s="9"/>
      <c r="AH174" s="10"/>
      <c r="AI174" s="9"/>
      <c r="AJ174" s="10"/>
      <c r="AK174" s="9"/>
      <c r="AL174" s="10"/>
      <c r="AM174" s="9"/>
      <c r="AN174" s="10"/>
      <c r="AO174" s="9"/>
      <c r="AP174" s="10"/>
      <c r="AQ174" s="9"/>
      <c r="AR174" s="10"/>
      <c r="AS174" s="9"/>
      <c r="AT174" s="10"/>
      <c r="AU174" s="10"/>
      <c r="AV174" s="10"/>
      <c r="AW174" s="10"/>
      <c r="AX174" s="10"/>
      <c r="AY174" s="10"/>
      <c r="AZ174" s="10"/>
      <c r="BA174" s="10"/>
      <c r="BB174" s="10"/>
      <c r="BC174" s="10"/>
      <c r="BD174" s="10"/>
      <c r="BE174" s="10"/>
      <c r="BF174" s="10"/>
      <c r="BG174" s="10"/>
      <c r="BH174" s="10"/>
      <c r="BI174" s="10"/>
      <c r="BJ174" s="10"/>
      <c r="BK174" s="10"/>
      <c r="BL174" s="10"/>
      <c r="BM174" s="9"/>
      <c r="BN174" s="10"/>
      <c r="BO174" s="9"/>
      <c r="BP174" s="10"/>
      <c r="BQ174" s="9"/>
      <c r="BR174" s="10"/>
      <c r="BS174" s="9"/>
      <c r="BT174" s="10"/>
      <c r="BU174" s="9"/>
      <c r="BV174" s="10"/>
      <c r="BW174" s="9"/>
      <c r="BX174"/>
      <c r="BY174"/>
      <c r="BZ174"/>
      <c r="CA174"/>
      <c r="CB174"/>
      <c r="CC174"/>
      <c r="CD174"/>
      <c r="CE174"/>
      <c r="CF174"/>
      <c r="CG174"/>
      <c r="CH174"/>
      <c r="CI174"/>
      <c r="CJ174"/>
      <c r="CK174"/>
      <c r="CL174"/>
      <c r="CM174"/>
      <c r="CN174"/>
      <c r="CO174"/>
      <c r="CP174"/>
      <c r="CQ174"/>
      <c r="CR174"/>
      <c r="CS174"/>
      <c r="CT174"/>
      <c r="CU174"/>
      <c r="CV174"/>
      <c r="CW174"/>
      <c r="CX174"/>
      <c r="CY174"/>
      <c r="CZ174"/>
      <c r="DA174"/>
      <c r="DB174"/>
      <c r="DC174"/>
      <c r="DD174"/>
      <c r="DE174"/>
      <c r="DF174"/>
      <c r="DG174"/>
      <c r="DH174"/>
      <c r="DI174"/>
      <c r="DJ174"/>
      <c r="DK174"/>
      <c r="DL174"/>
      <c r="DM174"/>
      <c r="DN174"/>
      <c r="DO174"/>
      <c r="DP174"/>
      <c r="DQ174"/>
      <c r="DR174"/>
      <c r="DS174"/>
      <c r="DT174"/>
    </row>
    <row r="175" spans="1:124" s="21" customFormat="1">
      <c r="A175" s="58"/>
      <c r="B175" s="31"/>
      <c r="J175" s="8"/>
      <c r="L175" s="141"/>
      <c r="M175" s="9"/>
      <c r="N175" s="10"/>
      <c r="O175" s="9"/>
      <c r="P175" s="10"/>
      <c r="Q175" s="9"/>
      <c r="R175" s="10"/>
      <c r="S175" s="9"/>
      <c r="T175" s="10"/>
      <c r="U175" s="9"/>
      <c r="V175" s="10"/>
      <c r="W175" s="9"/>
      <c r="X175" s="10"/>
      <c r="Y175" s="9"/>
      <c r="Z175" s="10"/>
      <c r="AA175" s="9"/>
      <c r="AB175" s="10"/>
      <c r="AC175" s="9"/>
      <c r="AD175" s="10"/>
      <c r="AE175" s="9"/>
      <c r="AF175" s="10"/>
      <c r="AG175" s="9"/>
      <c r="AH175" s="10"/>
      <c r="AI175" s="9"/>
      <c r="AJ175" s="10"/>
      <c r="AK175" s="9"/>
      <c r="AL175" s="10"/>
      <c r="AM175" s="9"/>
      <c r="AN175" s="10"/>
      <c r="AO175" s="9"/>
      <c r="AP175" s="10"/>
      <c r="AQ175" s="9"/>
      <c r="AR175" s="10"/>
      <c r="AS175" s="9"/>
      <c r="AT175" s="10"/>
      <c r="AU175" s="10"/>
      <c r="AV175" s="10"/>
      <c r="AW175" s="10"/>
      <c r="AX175" s="10"/>
      <c r="AY175" s="10"/>
      <c r="AZ175" s="10"/>
      <c r="BA175" s="10"/>
      <c r="BB175" s="10"/>
      <c r="BC175" s="10"/>
      <c r="BD175" s="10"/>
      <c r="BE175" s="10"/>
      <c r="BF175" s="10"/>
      <c r="BG175" s="10"/>
      <c r="BH175" s="10"/>
      <c r="BI175" s="10"/>
      <c r="BJ175" s="10"/>
      <c r="BK175" s="10"/>
      <c r="BL175" s="10"/>
      <c r="BM175" s="9"/>
      <c r="BN175" s="10"/>
      <c r="BO175" s="9"/>
      <c r="BP175" s="10"/>
      <c r="BQ175" s="9"/>
      <c r="BR175" s="10"/>
      <c r="BS175" s="9"/>
      <c r="BT175" s="10"/>
      <c r="BU175" s="9"/>
      <c r="BV175" s="10"/>
      <c r="BW175" s="9"/>
      <c r="BX175"/>
      <c r="BY175"/>
      <c r="BZ175"/>
      <c r="CA175"/>
      <c r="CB175"/>
      <c r="CC175"/>
      <c r="CD175"/>
      <c r="CE175"/>
      <c r="CF175"/>
      <c r="CG175"/>
      <c r="CH175"/>
      <c r="CI175"/>
      <c r="CJ175"/>
      <c r="CK175"/>
      <c r="CL175"/>
      <c r="CM175"/>
      <c r="CN175"/>
      <c r="CO175"/>
      <c r="CP175"/>
      <c r="CQ175"/>
      <c r="CR175"/>
      <c r="CS175"/>
      <c r="CT175"/>
      <c r="CU175"/>
      <c r="CV175"/>
      <c r="CW175"/>
      <c r="CX175"/>
      <c r="CY175"/>
      <c r="CZ175"/>
      <c r="DA175"/>
      <c r="DB175"/>
      <c r="DC175"/>
      <c r="DD175"/>
      <c r="DE175"/>
      <c r="DF175"/>
      <c r="DG175"/>
      <c r="DH175"/>
      <c r="DI175"/>
      <c r="DJ175"/>
      <c r="DK175"/>
      <c r="DL175"/>
      <c r="DM175"/>
      <c r="DN175"/>
      <c r="DO175"/>
      <c r="DP175"/>
      <c r="DQ175"/>
      <c r="DR175"/>
      <c r="DS175"/>
      <c r="DT175"/>
    </row>
    <row r="176" spans="1:124" s="166" customFormat="1">
      <c r="A176" s="165" t="s">
        <v>253</v>
      </c>
      <c r="J176" s="167"/>
      <c r="L176" s="168"/>
      <c r="M176" s="169"/>
      <c r="N176" s="169"/>
      <c r="O176" s="169"/>
      <c r="P176" s="169"/>
      <c r="Q176" s="169"/>
      <c r="R176" s="164">
        <f t="shared" ref="R176:AW176" si="32">R34+R102+R91+R107+R171+R173</f>
        <v>158451248.09999999</v>
      </c>
      <c r="S176" s="164">
        <f t="shared" si="32"/>
        <v>0</v>
      </c>
      <c r="T176" s="164">
        <f t="shared" si="32"/>
        <v>17087218</v>
      </c>
      <c r="U176" s="164">
        <f t="shared" si="32"/>
        <v>0</v>
      </c>
      <c r="V176" s="164">
        <f t="shared" si="32"/>
        <v>43642668.530000001</v>
      </c>
      <c r="W176" s="164">
        <f t="shared" si="32"/>
        <v>0</v>
      </c>
      <c r="X176" s="164">
        <f t="shared" si="32"/>
        <v>4696471.93</v>
      </c>
      <c r="Y176" s="164">
        <f t="shared" si="32"/>
        <v>0</v>
      </c>
      <c r="Z176" s="164">
        <f t="shared" si="32"/>
        <v>440729.95</v>
      </c>
      <c r="AA176" s="164">
        <f t="shared" si="32"/>
        <v>0</v>
      </c>
      <c r="AB176" s="164">
        <f t="shared" si="32"/>
        <v>4762739.43</v>
      </c>
      <c r="AC176" s="164">
        <f t="shared" si="32"/>
        <v>0</v>
      </c>
      <c r="AD176" s="164">
        <f t="shared" si="32"/>
        <v>9136615.6799999997</v>
      </c>
      <c r="AE176" s="164">
        <f t="shared" si="32"/>
        <v>0</v>
      </c>
      <c r="AF176" s="164">
        <f t="shared" si="32"/>
        <v>573248.10862083337</v>
      </c>
      <c r="AG176" s="164">
        <f t="shared" si="32"/>
        <v>0</v>
      </c>
      <c r="AH176" s="164">
        <f t="shared" si="32"/>
        <v>1116780.7521383627</v>
      </c>
      <c r="AI176" s="164">
        <f t="shared" si="32"/>
        <v>0</v>
      </c>
      <c r="AJ176" s="164">
        <f t="shared" si="32"/>
        <v>1496281.3264166121</v>
      </c>
      <c r="AK176" s="164">
        <f t="shared" si="32"/>
        <v>0</v>
      </c>
      <c r="AL176" s="164">
        <f t="shared" si="32"/>
        <v>1780115.93</v>
      </c>
      <c r="AM176" s="164">
        <f t="shared" si="32"/>
        <v>0</v>
      </c>
      <c r="AN176" s="164">
        <f t="shared" si="32"/>
        <v>1566383.0055069246</v>
      </c>
      <c r="AO176" s="164">
        <f t="shared" si="32"/>
        <v>0</v>
      </c>
      <c r="AP176" s="164">
        <f t="shared" si="32"/>
        <v>5481999.3709659204</v>
      </c>
      <c r="AQ176" s="164"/>
      <c r="AR176" s="164">
        <f t="shared" si="32"/>
        <v>4677967.54</v>
      </c>
      <c r="AS176" s="164">
        <f t="shared" si="32"/>
        <v>0</v>
      </c>
      <c r="AT176" s="164">
        <f t="shared" si="32"/>
        <v>8750380.3051100411</v>
      </c>
      <c r="AU176" s="164">
        <f t="shared" si="32"/>
        <v>0</v>
      </c>
      <c r="AV176" s="164">
        <f t="shared" si="32"/>
        <v>9706071.6582599431</v>
      </c>
      <c r="AW176" s="164">
        <f t="shared" si="32"/>
        <v>0</v>
      </c>
      <c r="AX176" s="164">
        <f t="shared" ref="AX176:BV176" si="33">AX34+AX102+AX91+AX107+AX171+AX173</f>
        <v>9777060.1201588511</v>
      </c>
      <c r="AY176" s="164">
        <f t="shared" si="33"/>
        <v>0</v>
      </c>
      <c r="AZ176" s="164">
        <f t="shared" si="33"/>
        <v>8038836.5700000003</v>
      </c>
      <c r="BA176" s="164">
        <f t="shared" si="33"/>
        <v>0</v>
      </c>
      <c r="BB176" s="164">
        <f t="shared" si="33"/>
        <v>2610922.7399374889</v>
      </c>
      <c r="BC176" s="164">
        <f t="shared" si="33"/>
        <v>0</v>
      </c>
      <c r="BD176" s="164">
        <f t="shared" si="33"/>
        <v>16127168.373180207</v>
      </c>
      <c r="BE176" s="164">
        <f t="shared" si="33"/>
        <v>0</v>
      </c>
      <c r="BF176" s="164">
        <f t="shared" si="33"/>
        <v>2023191.44</v>
      </c>
      <c r="BG176" s="164">
        <f t="shared" si="33"/>
        <v>0</v>
      </c>
      <c r="BH176" s="164">
        <f t="shared" si="33"/>
        <v>249879.07999999996</v>
      </c>
      <c r="BI176" s="164">
        <f t="shared" si="33"/>
        <v>0</v>
      </c>
      <c r="BJ176" s="164">
        <f t="shared" si="33"/>
        <v>177164</v>
      </c>
      <c r="BK176" s="164">
        <f>BK34+BK102+BK91+BK107+BK171+BK173</f>
        <v>0</v>
      </c>
      <c r="BL176" s="164">
        <f>BL34+BL102+BL91+BL107+BL171+BL173</f>
        <v>507802</v>
      </c>
      <c r="BM176" s="164">
        <f t="shared" si="33"/>
        <v>0</v>
      </c>
      <c r="BN176" s="164">
        <f t="shared" si="33"/>
        <v>154427695.8402952</v>
      </c>
      <c r="BO176" s="164">
        <f t="shared" si="33"/>
        <v>3202104</v>
      </c>
      <c r="BP176" s="164">
        <f t="shared" si="33"/>
        <v>2825212</v>
      </c>
      <c r="BQ176" s="164">
        <f t="shared" si="33"/>
        <v>4673615</v>
      </c>
      <c r="BR176" s="164">
        <f t="shared" si="33"/>
        <v>6529539.0433333144</v>
      </c>
      <c r="BS176" s="164">
        <f t="shared" si="33"/>
        <v>7699097</v>
      </c>
      <c r="BT176" s="164">
        <f t="shared" si="33"/>
        <v>159422274.81362849</v>
      </c>
      <c r="BU176" s="164">
        <f t="shared" si="33"/>
        <v>14335953</v>
      </c>
      <c r="BV176" s="164">
        <f t="shared" si="33"/>
        <v>-971026.71362851653</v>
      </c>
      <c r="BW176" s="169"/>
      <c r="BX176"/>
      <c r="BY176"/>
      <c r="BZ176"/>
      <c r="CA176"/>
      <c r="CB176"/>
      <c r="CC176"/>
      <c r="CD176"/>
      <c r="CE176"/>
      <c r="CF176"/>
      <c r="CG176"/>
      <c r="CH176"/>
      <c r="CI176"/>
      <c r="CJ176"/>
      <c r="CK176"/>
      <c r="CL176"/>
      <c r="CM176"/>
      <c r="CN176"/>
      <c r="CO176"/>
      <c r="CP176"/>
      <c r="CQ176"/>
      <c r="CR176"/>
      <c r="CS176"/>
      <c r="CT176"/>
      <c r="CU176"/>
      <c r="CV176"/>
      <c r="CW176"/>
      <c r="CX176"/>
      <c r="CY176"/>
      <c r="CZ176"/>
      <c r="DA176"/>
      <c r="DB176"/>
      <c r="DC176"/>
      <c r="DD176"/>
      <c r="DE176"/>
      <c r="DF176"/>
      <c r="DG176"/>
      <c r="DH176"/>
      <c r="DI176"/>
      <c r="DJ176"/>
      <c r="DK176"/>
      <c r="DL176"/>
      <c r="DM176"/>
      <c r="DN176"/>
      <c r="DO176"/>
      <c r="DP176"/>
      <c r="DQ176"/>
      <c r="DR176"/>
      <c r="DS176"/>
      <c r="DT176"/>
    </row>
    <row r="177" spans="1:124" s="21" customFormat="1">
      <c r="A177" s="58" t="s">
        <v>251</v>
      </c>
      <c r="B177" s="31"/>
      <c r="J177" s="8"/>
      <c r="L177" s="141"/>
      <c r="M177" s="9"/>
      <c r="N177" s="10"/>
      <c r="O177" s="9"/>
      <c r="P177" s="10"/>
      <c r="Q177" s="9"/>
      <c r="R177" s="10"/>
      <c r="S177" s="9"/>
      <c r="T177" s="10"/>
      <c r="U177" s="9"/>
      <c r="V177" s="10"/>
      <c r="W177" s="9"/>
      <c r="X177" s="10"/>
      <c r="Y177" s="9"/>
      <c r="Z177" s="10"/>
      <c r="AA177" s="9"/>
      <c r="AB177" s="10"/>
      <c r="AC177" s="9"/>
      <c r="AD177" s="10"/>
      <c r="AE177" s="9"/>
      <c r="AF177" s="10"/>
      <c r="AG177" s="9"/>
      <c r="AH177" s="10"/>
      <c r="AI177" s="9"/>
      <c r="AJ177" s="10"/>
      <c r="AK177" s="9"/>
      <c r="AL177" s="10"/>
      <c r="AM177" s="9"/>
      <c r="AN177" s="10"/>
      <c r="AO177" s="9"/>
      <c r="AP177" s="10"/>
      <c r="AQ177" s="9"/>
      <c r="AR177" s="10"/>
      <c r="AS177" s="9"/>
      <c r="AT177" s="10"/>
      <c r="AU177" s="10"/>
      <c r="AV177" s="10"/>
      <c r="AW177" s="10"/>
      <c r="AX177" s="10"/>
      <c r="AY177" s="10"/>
      <c r="AZ177" s="10"/>
      <c r="BA177" s="10"/>
      <c r="BB177" s="10"/>
      <c r="BC177" s="10"/>
      <c r="BD177" s="10"/>
      <c r="BE177" s="10"/>
      <c r="BF177" s="10"/>
      <c r="BG177" s="10"/>
      <c r="BH177" s="10"/>
      <c r="BI177" s="10"/>
      <c r="BJ177" s="10"/>
      <c r="BK177" s="10"/>
      <c r="BL177" s="10"/>
      <c r="BM177" s="9"/>
      <c r="BN177" s="10"/>
      <c r="BO177" s="9"/>
      <c r="BP177" s="10"/>
      <c r="BQ177" s="9"/>
      <c r="BR177" s="10"/>
      <c r="BS177" s="9"/>
      <c r="BT177" s="10">
        <f>BT176/B4</f>
        <v>339196.32939069893</v>
      </c>
      <c r="BU177" s="9"/>
      <c r="BV177" s="10"/>
      <c r="BW177" s="9"/>
      <c r="BX177"/>
      <c r="BY177"/>
      <c r="BZ177"/>
      <c r="CA177"/>
      <c r="CB177"/>
      <c r="CC177"/>
      <c r="CD177"/>
      <c r="CE177"/>
      <c r="CF177"/>
      <c r="CG177"/>
      <c r="CH177"/>
      <c r="CI177"/>
      <c r="CJ177"/>
      <c r="CK177"/>
      <c r="CL177"/>
      <c r="CM177"/>
      <c r="CN177"/>
      <c r="CO177"/>
      <c r="CP177"/>
      <c r="CQ177"/>
      <c r="CR177"/>
      <c r="CS177"/>
      <c r="CT177"/>
      <c r="CU177"/>
      <c r="CV177"/>
      <c r="CW177"/>
      <c r="CX177"/>
      <c r="CY177"/>
      <c r="CZ177"/>
      <c r="DA177"/>
      <c r="DB177"/>
      <c r="DC177"/>
      <c r="DD177"/>
      <c r="DE177"/>
      <c r="DF177"/>
      <c r="DG177"/>
      <c r="DH177"/>
      <c r="DI177"/>
      <c r="DJ177"/>
      <c r="DK177"/>
      <c r="DL177"/>
      <c r="DM177"/>
      <c r="DN177"/>
      <c r="DO177"/>
      <c r="DP177"/>
      <c r="DQ177"/>
      <c r="DR177"/>
      <c r="DS177"/>
      <c r="DT177"/>
    </row>
    <row r="178" spans="1:124" s="21" customFormat="1">
      <c r="A178" s="58"/>
      <c r="B178" s="31"/>
      <c r="J178" s="8"/>
      <c r="L178" s="141"/>
      <c r="M178" s="9"/>
      <c r="N178" s="10"/>
      <c r="O178" s="9"/>
      <c r="P178" s="10"/>
      <c r="Q178" s="9"/>
      <c r="R178" s="10"/>
      <c r="S178" s="9"/>
      <c r="T178" s="10"/>
      <c r="U178" s="9"/>
      <c r="V178" s="10"/>
      <c r="W178" s="9"/>
      <c r="X178" s="10"/>
      <c r="Y178" s="9"/>
      <c r="Z178" s="10"/>
      <c r="AA178" s="9"/>
      <c r="AB178" s="10"/>
      <c r="AC178" s="9"/>
      <c r="AD178" s="10"/>
      <c r="AE178" s="9"/>
      <c r="AF178" s="10"/>
      <c r="AG178" s="9"/>
      <c r="AH178" s="10"/>
      <c r="AI178" s="9"/>
      <c r="AJ178" s="10"/>
      <c r="AK178" s="9"/>
      <c r="AL178" s="10"/>
      <c r="AM178" s="9"/>
      <c r="AN178" s="10"/>
      <c r="AO178" s="9"/>
      <c r="AP178" s="10"/>
      <c r="AQ178" s="9"/>
      <c r="AR178" s="10"/>
      <c r="AS178" s="9"/>
      <c r="AT178" s="10"/>
      <c r="AU178" s="10"/>
      <c r="AV178" s="10"/>
      <c r="AW178" s="10"/>
      <c r="AX178" s="10"/>
      <c r="AY178" s="10"/>
      <c r="AZ178" s="10"/>
      <c r="BA178" s="10"/>
      <c r="BB178" s="10"/>
      <c r="BC178" s="10"/>
      <c r="BD178" s="10"/>
      <c r="BE178" s="10"/>
      <c r="BF178" s="10"/>
      <c r="BG178" s="10"/>
      <c r="BH178" s="10"/>
      <c r="BI178" s="10"/>
      <c r="BJ178" s="10"/>
      <c r="BK178" s="10"/>
      <c r="BL178" s="10"/>
      <c r="BM178" s="9"/>
      <c r="BN178" s="10"/>
      <c r="BO178" s="9"/>
      <c r="BP178" s="10"/>
      <c r="BQ178" s="9"/>
      <c r="BR178" s="10"/>
      <c r="BS178" s="9"/>
      <c r="BT178" s="10"/>
      <c r="BU178" s="9"/>
      <c r="BV178" s="10"/>
      <c r="BW178" s="9"/>
      <c r="BX178"/>
      <c r="BY178"/>
      <c r="BZ178"/>
      <c r="CA178"/>
      <c r="CB178"/>
      <c r="CC178"/>
      <c r="CD178"/>
      <c r="CE178"/>
      <c r="CF178"/>
      <c r="CG178"/>
      <c r="CH178"/>
      <c r="CI178"/>
      <c r="CJ178"/>
      <c r="CK178"/>
      <c r="CL178"/>
      <c r="CM178"/>
      <c r="CN178"/>
      <c r="CO178"/>
      <c r="CP178"/>
      <c r="CQ178"/>
      <c r="CR178"/>
      <c r="CS178"/>
      <c r="CT178"/>
      <c r="CU178"/>
      <c r="CV178"/>
      <c r="CW178"/>
      <c r="CX178"/>
      <c r="CY178"/>
      <c r="CZ178"/>
      <c r="DA178"/>
      <c r="DB178"/>
      <c r="DC178"/>
      <c r="DD178"/>
      <c r="DE178"/>
      <c r="DF178"/>
      <c r="DG178"/>
      <c r="DH178"/>
      <c r="DI178"/>
      <c r="DJ178"/>
      <c r="DK178"/>
      <c r="DL178"/>
      <c r="DM178"/>
      <c r="DN178"/>
      <c r="DO178"/>
      <c r="DP178"/>
      <c r="DQ178"/>
      <c r="DR178"/>
      <c r="DS178"/>
      <c r="DT178"/>
    </row>
    <row r="179" spans="1:124" s="21" customFormat="1" hidden="1">
      <c r="A179" s="58"/>
      <c r="B179" s="31"/>
      <c r="J179" s="8"/>
      <c r="L179" s="141"/>
      <c r="M179" s="9"/>
      <c r="N179" s="10"/>
      <c r="O179" s="9"/>
      <c r="P179" s="10"/>
      <c r="Q179" s="9"/>
      <c r="R179" s="10"/>
      <c r="S179" s="9"/>
      <c r="T179" s="10">
        <f t="shared" ref="T179:BG179" si="34">-T123</f>
        <v>0</v>
      </c>
      <c r="U179" s="10">
        <f t="shared" si="34"/>
        <v>0</v>
      </c>
      <c r="V179" s="10">
        <f t="shared" si="34"/>
        <v>0</v>
      </c>
      <c r="W179" s="10">
        <f t="shared" si="34"/>
        <v>0</v>
      </c>
      <c r="X179" s="10">
        <f t="shared" si="34"/>
        <v>0</v>
      </c>
      <c r="Y179" s="10">
        <f t="shared" si="34"/>
        <v>0</v>
      </c>
      <c r="Z179" s="10">
        <f t="shared" si="34"/>
        <v>0</v>
      </c>
      <c r="AA179" s="10">
        <f t="shared" si="34"/>
        <v>0</v>
      </c>
      <c r="AB179" s="10">
        <f t="shared" si="34"/>
        <v>0</v>
      </c>
      <c r="AC179" s="10">
        <f t="shared" si="34"/>
        <v>0</v>
      </c>
      <c r="AD179" s="10">
        <f t="shared" si="34"/>
        <v>0</v>
      </c>
      <c r="AE179" s="10">
        <f t="shared" si="34"/>
        <v>0</v>
      </c>
      <c r="AF179" s="10">
        <f t="shared" si="34"/>
        <v>0</v>
      </c>
      <c r="AG179" s="10">
        <f t="shared" si="34"/>
        <v>0</v>
      </c>
      <c r="AH179" s="10">
        <f t="shared" si="34"/>
        <v>0</v>
      </c>
      <c r="AI179" s="10">
        <f t="shared" si="34"/>
        <v>0</v>
      </c>
      <c r="AJ179" s="10">
        <f t="shared" si="34"/>
        <v>0</v>
      </c>
      <c r="AK179" s="10">
        <f t="shared" si="34"/>
        <v>0</v>
      </c>
      <c r="AL179" s="10">
        <f t="shared" si="34"/>
        <v>0</v>
      </c>
      <c r="AM179" s="10">
        <f t="shared" si="34"/>
        <v>0</v>
      </c>
      <c r="AN179" s="10">
        <f t="shared" si="34"/>
        <v>0</v>
      </c>
      <c r="AO179" s="10">
        <f t="shared" si="34"/>
        <v>0</v>
      </c>
      <c r="AP179" s="10">
        <f t="shared" si="34"/>
        <v>0</v>
      </c>
      <c r="AQ179" s="10"/>
      <c r="AR179" s="10">
        <f t="shared" si="34"/>
        <v>0</v>
      </c>
      <c r="AS179" s="10">
        <f t="shared" si="34"/>
        <v>0</v>
      </c>
      <c r="AT179" s="10">
        <f t="shared" si="34"/>
        <v>0</v>
      </c>
      <c r="AU179" s="10">
        <f t="shared" si="34"/>
        <v>0</v>
      </c>
      <c r="AV179" s="10">
        <f t="shared" si="34"/>
        <v>0</v>
      </c>
      <c r="AW179" s="10">
        <f t="shared" si="34"/>
        <v>0</v>
      </c>
      <c r="AX179" s="10">
        <f t="shared" si="34"/>
        <v>0</v>
      </c>
      <c r="AY179" s="10">
        <f t="shared" si="34"/>
        <v>0</v>
      </c>
      <c r="AZ179" s="10">
        <f t="shared" si="34"/>
        <v>0</v>
      </c>
      <c r="BA179" s="10">
        <f t="shared" si="34"/>
        <v>0</v>
      </c>
      <c r="BB179" s="10">
        <f t="shared" si="34"/>
        <v>0</v>
      </c>
      <c r="BC179" s="10">
        <f t="shared" si="34"/>
        <v>0</v>
      </c>
      <c r="BD179" s="10">
        <f t="shared" si="34"/>
        <v>0</v>
      </c>
      <c r="BE179" s="10">
        <f t="shared" si="34"/>
        <v>0</v>
      </c>
      <c r="BF179" s="10">
        <f t="shared" si="34"/>
        <v>0</v>
      </c>
      <c r="BG179" s="10">
        <f t="shared" si="34"/>
        <v>0</v>
      </c>
      <c r="BH179" s="10">
        <f>-BH123</f>
        <v>-35636.879999999997</v>
      </c>
      <c r="BI179" s="10"/>
      <c r="BJ179" s="10"/>
      <c r="BK179" s="10"/>
      <c r="BL179" s="10" t="s">
        <v>83</v>
      </c>
      <c r="BM179" s="9"/>
      <c r="BN179" s="10">
        <f>-BN123</f>
        <v>-42514.879999999997</v>
      </c>
      <c r="BO179" s="9"/>
      <c r="BP179" s="10"/>
      <c r="BQ179" s="9"/>
      <c r="BR179" s="10"/>
      <c r="BS179" s="9"/>
      <c r="BT179" s="10"/>
      <c r="BU179" s="9"/>
      <c r="BV179" s="10"/>
      <c r="BW179" s="9"/>
      <c r="BX179"/>
      <c r="BY179"/>
      <c r="BZ179"/>
      <c r="CA179"/>
      <c r="CB179"/>
      <c r="CC179"/>
      <c r="CD179"/>
      <c r="CE179"/>
      <c r="CF179"/>
      <c r="CG179"/>
      <c r="CH179"/>
      <c r="CI179"/>
      <c r="CJ179"/>
      <c r="CK179"/>
      <c r="CL179"/>
      <c r="CM179"/>
      <c r="CN179"/>
      <c r="CO179"/>
      <c r="CP179"/>
      <c r="CQ179"/>
      <c r="CR179"/>
      <c r="CS179"/>
      <c r="CT179"/>
      <c r="CU179"/>
      <c r="CV179"/>
      <c r="CW179"/>
      <c r="CX179"/>
      <c r="CY179"/>
      <c r="CZ179"/>
      <c r="DA179"/>
      <c r="DB179"/>
      <c r="DC179"/>
      <c r="DD179"/>
      <c r="DE179"/>
      <c r="DF179"/>
      <c r="DG179"/>
      <c r="DH179"/>
      <c r="DI179"/>
      <c r="DJ179"/>
      <c r="DK179"/>
      <c r="DL179"/>
      <c r="DM179"/>
      <c r="DN179"/>
      <c r="DO179"/>
      <c r="DP179"/>
      <c r="DQ179"/>
      <c r="DR179"/>
      <c r="DS179"/>
      <c r="DT179"/>
    </row>
    <row r="180" spans="1:124" s="21" customFormat="1" hidden="1">
      <c r="A180" s="58"/>
      <c r="B180" s="31"/>
      <c r="J180" s="8"/>
      <c r="L180" s="141"/>
      <c r="M180" s="9"/>
      <c r="N180" s="10"/>
      <c r="O180" s="9"/>
      <c r="P180" s="10"/>
      <c r="Q180" s="9"/>
      <c r="R180" s="10"/>
      <c r="S180" s="9"/>
      <c r="T180" s="10">
        <f t="shared" ref="T180:BG180" si="35">-T115</f>
        <v>0</v>
      </c>
      <c r="U180" s="10">
        <f t="shared" si="35"/>
        <v>0</v>
      </c>
      <c r="V180" s="10">
        <f t="shared" si="35"/>
        <v>0</v>
      </c>
      <c r="W180" s="10">
        <f t="shared" si="35"/>
        <v>0</v>
      </c>
      <c r="X180" s="10">
        <f t="shared" si="35"/>
        <v>0</v>
      </c>
      <c r="Y180" s="10">
        <f t="shared" si="35"/>
        <v>0</v>
      </c>
      <c r="Z180" s="10">
        <f t="shared" si="35"/>
        <v>0</v>
      </c>
      <c r="AA180" s="10">
        <f t="shared" si="35"/>
        <v>0</v>
      </c>
      <c r="AB180" s="10">
        <f t="shared" si="35"/>
        <v>0</v>
      </c>
      <c r="AC180" s="10">
        <f t="shared" si="35"/>
        <v>0</v>
      </c>
      <c r="AD180" s="10">
        <f t="shared" si="35"/>
        <v>0</v>
      </c>
      <c r="AE180" s="10">
        <f t="shared" si="35"/>
        <v>0</v>
      </c>
      <c r="AF180" s="10">
        <f t="shared" si="35"/>
        <v>0</v>
      </c>
      <c r="AG180" s="10">
        <f t="shared" si="35"/>
        <v>0</v>
      </c>
      <c r="AH180" s="10">
        <f t="shared" si="35"/>
        <v>0</v>
      </c>
      <c r="AI180" s="10">
        <f t="shared" si="35"/>
        <v>0</v>
      </c>
      <c r="AJ180" s="10">
        <f t="shared" si="35"/>
        <v>0</v>
      </c>
      <c r="AK180" s="10">
        <f t="shared" si="35"/>
        <v>0</v>
      </c>
      <c r="AL180" s="10">
        <f t="shared" si="35"/>
        <v>0</v>
      </c>
      <c r="AM180" s="10">
        <f t="shared" si="35"/>
        <v>0</v>
      </c>
      <c r="AN180" s="10">
        <f t="shared" si="35"/>
        <v>0</v>
      </c>
      <c r="AO180" s="10">
        <f t="shared" si="35"/>
        <v>0</v>
      </c>
      <c r="AP180" s="10">
        <f t="shared" si="35"/>
        <v>0</v>
      </c>
      <c r="AQ180" s="10"/>
      <c r="AR180" s="10">
        <f t="shared" si="35"/>
        <v>0</v>
      </c>
      <c r="AS180" s="10">
        <f t="shared" si="35"/>
        <v>0</v>
      </c>
      <c r="AT180" s="10">
        <f t="shared" si="35"/>
        <v>0</v>
      </c>
      <c r="AU180" s="10">
        <f t="shared" si="35"/>
        <v>0</v>
      </c>
      <c r="AV180" s="10">
        <f t="shared" si="35"/>
        <v>-37000</v>
      </c>
      <c r="AW180" s="10">
        <f t="shared" si="35"/>
        <v>0</v>
      </c>
      <c r="AX180" s="10">
        <f t="shared" si="35"/>
        <v>-210319.82</v>
      </c>
      <c r="AY180" s="10">
        <f t="shared" si="35"/>
        <v>0</v>
      </c>
      <c r="AZ180" s="10">
        <f t="shared" si="35"/>
        <v>-162493.07</v>
      </c>
      <c r="BA180" s="10">
        <f t="shared" si="35"/>
        <v>0</v>
      </c>
      <c r="BB180" s="10">
        <f t="shared" si="35"/>
        <v>-216683.78</v>
      </c>
      <c r="BC180" s="10">
        <f t="shared" si="35"/>
        <v>0</v>
      </c>
      <c r="BD180" s="10">
        <f t="shared" si="35"/>
        <v>-183125.89</v>
      </c>
      <c r="BE180" s="10">
        <f t="shared" si="35"/>
        <v>0</v>
      </c>
      <c r="BF180" s="10">
        <f t="shared" si="35"/>
        <v>-164872.12</v>
      </c>
      <c r="BG180" s="10">
        <f t="shared" si="35"/>
        <v>0</v>
      </c>
      <c r="BH180" s="10">
        <f>-BH115</f>
        <v>-85226.45</v>
      </c>
      <c r="BI180" s="10"/>
      <c r="BJ180" s="10"/>
      <c r="BK180" s="10"/>
      <c r="BL180" s="10" t="s">
        <v>439</v>
      </c>
      <c r="BM180" s="9"/>
      <c r="BN180" s="10">
        <f>-BN115</f>
        <v>-1120159.1299999999</v>
      </c>
      <c r="BO180" s="9"/>
      <c r="BP180" s="10"/>
      <c r="BQ180" s="9"/>
      <c r="BR180" s="10"/>
      <c r="BS180" s="9"/>
      <c r="BT180" s="10"/>
      <c r="BU180" s="9"/>
      <c r="BV180" s="10"/>
      <c r="BW180" s="9"/>
      <c r="BX180"/>
      <c r="BY180"/>
      <c r="BZ180"/>
      <c r="CA180"/>
      <c r="CB180"/>
      <c r="CC180"/>
      <c r="CD180"/>
      <c r="CE180"/>
      <c r="CF180"/>
      <c r="CG180"/>
      <c r="CH180"/>
      <c r="CI180"/>
      <c r="CJ180"/>
      <c r="CK180"/>
      <c r="CL180"/>
      <c r="CM180"/>
      <c r="CN180"/>
      <c r="CO180"/>
      <c r="CP180"/>
      <c r="CQ180"/>
      <c r="CR180"/>
      <c r="CS180"/>
      <c r="CT180"/>
      <c r="CU180"/>
      <c r="CV180"/>
      <c r="CW180"/>
      <c r="CX180"/>
      <c r="CY180"/>
      <c r="CZ180"/>
      <c r="DA180"/>
      <c r="DB180"/>
      <c r="DC180"/>
      <c r="DD180"/>
      <c r="DE180"/>
      <c r="DF180"/>
      <c r="DG180"/>
      <c r="DH180"/>
      <c r="DI180"/>
      <c r="DJ180"/>
      <c r="DK180"/>
      <c r="DL180"/>
      <c r="DM180"/>
      <c r="DN180"/>
      <c r="DO180"/>
      <c r="DP180"/>
      <c r="DQ180"/>
      <c r="DR180"/>
      <c r="DS180"/>
      <c r="DT180"/>
    </row>
    <row r="181" spans="1:124" s="21" customFormat="1" hidden="1">
      <c r="A181" s="58"/>
      <c r="B181" s="31"/>
      <c r="J181" s="8"/>
      <c r="L181" s="141"/>
      <c r="M181" s="9"/>
      <c r="N181" s="10"/>
      <c r="O181" s="9"/>
      <c r="P181" s="10"/>
      <c r="Q181" s="9"/>
      <c r="R181" s="10"/>
      <c r="S181" s="9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  <c r="AQ181" s="10"/>
      <c r="AR181" s="10"/>
      <c r="AS181" s="10"/>
      <c r="AT181" s="10"/>
      <c r="AU181" s="10"/>
      <c r="AV181" s="10"/>
      <c r="AW181" s="10"/>
      <c r="AX181" s="10"/>
      <c r="AY181" s="10"/>
      <c r="AZ181" s="10"/>
      <c r="BA181" s="10"/>
      <c r="BB181" s="10"/>
      <c r="BC181" s="10"/>
      <c r="BD181" s="10"/>
      <c r="BE181" s="10"/>
      <c r="BF181" s="10"/>
      <c r="BG181" s="10"/>
      <c r="BH181" s="10"/>
      <c r="BI181" s="10"/>
      <c r="BJ181" s="10"/>
      <c r="BK181" s="10"/>
      <c r="BL181" s="10" t="s">
        <v>443</v>
      </c>
      <c r="BM181" s="9"/>
      <c r="BN181" s="10">
        <f>-BN121</f>
        <v>-13668.55</v>
      </c>
      <c r="BO181" s="9"/>
      <c r="BP181" s="10"/>
      <c r="BQ181" s="9"/>
      <c r="BR181" s="10"/>
      <c r="BS181" s="9"/>
      <c r="BT181" s="10"/>
      <c r="BU181" s="9"/>
      <c r="BV181" s="10"/>
      <c r="BW181" s="9"/>
      <c r="BX181"/>
      <c r="BY181"/>
      <c r="BZ181"/>
      <c r="CA181"/>
      <c r="CB181"/>
      <c r="CC181"/>
      <c r="CD181"/>
      <c r="CE181"/>
      <c r="CF181"/>
      <c r="CG181"/>
      <c r="CH181"/>
      <c r="CI181"/>
      <c r="CJ181"/>
      <c r="CK181"/>
      <c r="CL181"/>
      <c r="CM181"/>
      <c r="CN181"/>
      <c r="CO181"/>
      <c r="CP181"/>
      <c r="CQ181"/>
      <c r="CR181"/>
      <c r="CS181"/>
      <c r="CT181"/>
      <c r="CU181"/>
      <c r="CV181"/>
      <c r="CW181"/>
      <c r="CX181"/>
      <c r="CY181"/>
      <c r="CZ181"/>
      <c r="DA181"/>
      <c r="DB181"/>
      <c r="DC181"/>
      <c r="DD181"/>
      <c r="DE181"/>
      <c r="DF181"/>
      <c r="DG181"/>
      <c r="DH181"/>
      <c r="DI181"/>
      <c r="DJ181"/>
      <c r="DK181"/>
      <c r="DL181"/>
      <c r="DM181"/>
      <c r="DN181"/>
      <c r="DO181"/>
      <c r="DP181"/>
      <c r="DQ181"/>
      <c r="DR181"/>
      <c r="DS181"/>
      <c r="DT181"/>
    </row>
    <row r="182" spans="1:124" s="21" customFormat="1" hidden="1">
      <c r="A182" s="58"/>
      <c r="B182" s="31"/>
      <c r="J182" s="8"/>
      <c r="L182" s="141"/>
      <c r="M182" s="9"/>
      <c r="N182" s="10"/>
      <c r="O182" s="9"/>
      <c r="P182" s="10"/>
      <c r="Q182" s="9"/>
      <c r="R182" s="10"/>
      <c r="S182" s="9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  <c r="AQ182" s="10"/>
      <c r="AR182" s="10"/>
      <c r="AS182" s="10"/>
      <c r="AT182" s="10"/>
      <c r="AU182" s="10"/>
      <c r="AV182" s="10"/>
      <c r="AW182" s="10"/>
      <c r="AX182" s="10"/>
      <c r="AY182" s="10"/>
      <c r="AZ182" s="10"/>
      <c r="BA182" s="10"/>
      <c r="BB182" s="10"/>
      <c r="BC182" s="10"/>
      <c r="BD182" s="10">
        <f>BN182</f>
        <v>-300697</v>
      </c>
      <c r="BE182" s="10"/>
      <c r="BF182" s="10"/>
      <c r="BG182" s="10"/>
      <c r="BH182" s="10"/>
      <c r="BI182" s="10"/>
      <c r="BJ182" s="10"/>
      <c r="BK182" s="10"/>
      <c r="BL182" s="10" t="s">
        <v>441</v>
      </c>
      <c r="BM182" s="9"/>
      <c r="BN182" s="10">
        <v>-300697</v>
      </c>
      <c r="BO182" s="9"/>
      <c r="BP182" s="10"/>
      <c r="BQ182" s="9"/>
      <c r="BR182" s="10"/>
      <c r="BS182" s="9"/>
      <c r="BT182" s="10"/>
      <c r="BU182" s="9"/>
      <c r="BV182" s="10"/>
      <c r="BW182" s="9"/>
      <c r="BX182"/>
      <c r="BY182"/>
      <c r="BZ182"/>
      <c r="CA182"/>
      <c r="CB182"/>
      <c r="CC182"/>
      <c r="CD182"/>
      <c r="CE182"/>
      <c r="CF182"/>
      <c r="CG182"/>
      <c r="CH182"/>
      <c r="CI182"/>
      <c r="CJ182"/>
      <c r="CK182"/>
      <c r="CL182"/>
      <c r="CM182"/>
      <c r="CN182"/>
      <c r="CO182"/>
      <c r="CP182"/>
      <c r="CQ182"/>
      <c r="CR182"/>
      <c r="CS182"/>
      <c r="CT182"/>
      <c r="CU182"/>
      <c r="CV182"/>
      <c r="CW182"/>
      <c r="CX182"/>
      <c r="CY182"/>
      <c r="CZ182"/>
      <c r="DA182"/>
      <c r="DB182"/>
      <c r="DC182"/>
      <c r="DD182"/>
      <c r="DE182"/>
      <c r="DF182"/>
      <c r="DG182"/>
      <c r="DH182"/>
      <c r="DI182"/>
      <c r="DJ182"/>
      <c r="DK182"/>
      <c r="DL182"/>
      <c r="DM182"/>
      <c r="DN182"/>
      <c r="DO182"/>
      <c r="DP182"/>
      <c r="DQ182"/>
      <c r="DR182"/>
      <c r="DS182"/>
      <c r="DT182"/>
    </row>
    <row r="183" spans="1:124" s="21" customFormat="1" hidden="1">
      <c r="A183" s="58"/>
      <c r="B183" s="31"/>
      <c r="J183" s="8"/>
      <c r="L183" s="141"/>
      <c r="M183" s="9"/>
      <c r="N183" s="10"/>
      <c r="O183" s="9"/>
      <c r="P183" s="10"/>
      <c r="Q183" s="9"/>
      <c r="R183" s="10"/>
      <c r="S183" s="9"/>
      <c r="T183" s="10">
        <f t="shared" ref="T183:BG183" si="36">SUM(T176:T182)</f>
        <v>17087218</v>
      </c>
      <c r="U183" s="10">
        <f t="shared" si="36"/>
        <v>0</v>
      </c>
      <c r="V183" s="10">
        <f t="shared" si="36"/>
        <v>43642668.530000001</v>
      </c>
      <c r="W183" s="10">
        <f t="shared" si="36"/>
        <v>0</v>
      </c>
      <c r="X183" s="10">
        <f t="shared" si="36"/>
        <v>4696471.93</v>
      </c>
      <c r="Y183" s="10">
        <f t="shared" si="36"/>
        <v>0</v>
      </c>
      <c r="Z183" s="10">
        <f t="shared" si="36"/>
        <v>440729.95</v>
      </c>
      <c r="AA183" s="10">
        <f t="shared" si="36"/>
        <v>0</v>
      </c>
      <c r="AB183" s="10">
        <f t="shared" si="36"/>
        <v>4762739.43</v>
      </c>
      <c r="AC183" s="10">
        <f t="shared" si="36"/>
        <v>0</v>
      </c>
      <c r="AD183" s="10">
        <f t="shared" si="36"/>
        <v>9136615.6799999997</v>
      </c>
      <c r="AE183" s="10">
        <f t="shared" si="36"/>
        <v>0</v>
      </c>
      <c r="AF183" s="10">
        <f t="shared" si="36"/>
        <v>573248.10862083337</v>
      </c>
      <c r="AG183" s="10">
        <f t="shared" si="36"/>
        <v>0</v>
      </c>
      <c r="AH183" s="10">
        <f t="shared" si="36"/>
        <v>1116780.7521383627</v>
      </c>
      <c r="AI183" s="10">
        <f t="shared" si="36"/>
        <v>0</v>
      </c>
      <c r="AJ183" s="10">
        <f t="shared" si="36"/>
        <v>1496281.3264166121</v>
      </c>
      <c r="AK183" s="10">
        <f t="shared" si="36"/>
        <v>0</v>
      </c>
      <c r="AL183" s="10">
        <f t="shared" si="36"/>
        <v>1780115.93</v>
      </c>
      <c r="AM183" s="10">
        <f t="shared" si="36"/>
        <v>0</v>
      </c>
      <c r="AN183" s="10">
        <f t="shared" si="36"/>
        <v>1566383.0055069246</v>
      </c>
      <c r="AO183" s="10">
        <f t="shared" si="36"/>
        <v>0</v>
      </c>
      <c r="AP183" s="10">
        <f t="shared" si="36"/>
        <v>5481999.3709659204</v>
      </c>
      <c r="AQ183" s="10"/>
      <c r="AR183" s="10">
        <f t="shared" si="36"/>
        <v>4677967.54</v>
      </c>
      <c r="AS183" s="10">
        <f t="shared" si="36"/>
        <v>0</v>
      </c>
      <c r="AT183" s="10">
        <f t="shared" si="36"/>
        <v>8750380.3051100411</v>
      </c>
      <c r="AU183" s="10">
        <f t="shared" si="36"/>
        <v>0</v>
      </c>
      <c r="AV183" s="10">
        <f t="shared" si="36"/>
        <v>9669071.6582599431</v>
      </c>
      <c r="AW183" s="10">
        <f t="shared" si="36"/>
        <v>0</v>
      </c>
      <c r="AX183" s="10">
        <f t="shared" si="36"/>
        <v>9566740.3001588508</v>
      </c>
      <c r="AY183" s="10">
        <f t="shared" si="36"/>
        <v>0</v>
      </c>
      <c r="AZ183" s="10">
        <f t="shared" si="36"/>
        <v>7876343.5</v>
      </c>
      <c r="BA183" s="10">
        <f t="shared" si="36"/>
        <v>0</v>
      </c>
      <c r="BB183" s="10">
        <f t="shared" si="36"/>
        <v>2394238.9599374891</v>
      </c>
      <c r="BC183" s="10">
        <f t="shared" si="36"/>
        <v>0</v>
      </c>
      <c r="BD183" s="10">
        <f t="shared" si="36"/>
        <v>15643345.483180206</v>
      </c>
      <c r="BE183" s="10">
        <f t="shared" si="36"/>
        <v>0</v>
      </c>
      <c r="BF183" s="10">
        <f t="shared" si="36"/>
        <v>1858319.3199999998</v>
      </c>
      <c r="BG183" s="10">
        <f t="shared" si="36"/>
        <v>0</v>
      </c>
      <c r="BH183" s="10">
        <f>SUM(BH176:BH182)</f>
        <v>129015.74999999996</v>
      </c>
      <c r="BI183" s="10"/>
      <c r="BJ183" s="10"/>
      <c r="BK183" s="10"/>
      <c r="BL183" s="10"/>
      <c r="BM183" s="9"/>
      <c r="BN183" s="10">
        <f>SUM(BN176:BN182)</f>
        <v>152950656.28029519</v>
      </c>
      <c r="BO183" s="9"/>
      <c r="BP183" s="10"/>
      <c r="BQ183" s="9"/>
      <c r="BR183" s="10"/>
      <c r="BS183" s="9"/>
      <c r="BT183" s="10"/>
      <c r="BU183" s="9"/>
      <c r="BV183" s="10"/>
      <c r="BW183" s="9"/>
      <c r="BX183"/>
      <c r="BY183"/>
      <c r="BZ183"/>
      <c r="CA183"/>
      <c r="CB183"/>
      <c r="CC183"/>
      <c r="CD183"/>
      <c r="CE183"/>
      <c r="CF183"/>
      <c r="CG183"/>
      <c r="CH183"/>
      <c r="CI183"/>
      <c r="CJ183"/>
      <c r="CK183"/>
      <c r="CL183"/>
      <c r="CM183"/>
      <c r="CN183"/>
      <c r="CO183"/>
      <c r="CP183"/>
      <c r="CQ183"/>
      <c r="CR183"/>
      <c r="CS183"/>
      <c r="CT183"/>
      <c r="CU183"/>
      <c r="CV183"/>
      <c r="CW183"/>
      <c r="CX183"/>
      <c r="CY183"/>
      <c r="CZ183"/>
      <c r="DA183"/>
      <c r="DB183"/>
      <c r="DC183"/>
      <c r="DD183"/>
      <c r="DE183"/>
      <c r="DF183"/>
      <c r="DG183"/>
      <c r="DH183"/>
      <c r="DI183"/>
      <c r="DJ183"/>
      <c r="DK183"/>
      <c r="DL183"/>
      <c r="DM183"/>
      <c r="DN183"/>
      <c r="DO183"/>
      <c r="DP183"/>
      <c r="DQ183"/>
      <c r="DR183"/>
      <c r="DS183"/>
      <c r="DT183"/>
    </row>
    <row r="184" spans="1:124" s="21" customFormat="1" hidden="1">
      <c r="A184" s="58"/>
      <c r="B184" s="31"/>
      <c r="J184" s="8"/>
      <c r="L184" s="141"/>
      <c r="M184" s="9"/>
      <c r="N184" s="10"/>
      <c r="O184" s="9"/>
      <c r="P184" s="10"/>
      <c r="Q184" s="9"/>
      <c r="R184" s="10"/>
      <c r="S184" s="9"/>
      <c r="T184" s="10"/>
      <c r="U184" s="9"/>
      <c r="V184" s="10"/>
      <c r="W184" s="9"/>
      <c r="X184" s="10"/>
      <c r="Y184" s="9"/>
      <c r="Z184" s="10"/>
      <c r="AA184" s="9"/>
      <c r="AB184" s="10"/>
      <c r="AC184" s="9"/>
      <c r="AD184" s="10"/>
      <c r="AE184" s="9"/>
      <c r="AF184" s="10"/>
      <c r="AG184" s="9"/>
      <c r="AH184" s="10"/>
      <c r="AI184" s="9"/>
      <c r="AJ184" s="10"/>
      <c r="AK184" s="9"/>
      <c r="AL184" s="10"/>
      <c r="AM184" s="9"/>
      <c r="AN184" s="10"/>
      <c r="AO184" s="9"/>
      <c r="AP184" s="10"/>
      <c r="AQ184" s="9"/>
      <c r="AR184" s="10"/>
      <c r="AS184" s="9"/>
      <c r="AT184" s="10"/>
      <c r="AU184" s="10"/>
      <c r="AV184" s="10"/>
      <c r="AW184" s="10"/>
      <c r="AX184" s="10"/>
      <c r="AY184" s="10"/>
      <c r="AZ184" s="10"/>
      <c r="BA184" s="10"/>
      <c r="BB184" s="10"/>
      <c r="BC184" s="10"/>
      <c r="BD184" s="10">
        <f>SUM(T183:BD183)</f>
        <v>150359339.76029518</v>
      </c>
      <c r="BE184" s="10"/>
      <c r="BF184" s="10"/>
      <c r="BG184" s="10"/>
      <c r="BH184" s="10"/>
      <c r="BI184" s="10"/>
      <c r="BJ184" s="10"/>
      <c r="BK184" s="10"/>
      <c r="BL184" s="10"/>
      <c r="BM184" s="9"/>
      <c r="BN184" s="10"/>
      <c r="BO184" s="9"/>
      <c r="BP184" s="10"/>
      <c r="BQ184" s="9"/>
      <c r="BR184" s="10"/>
      <c r="BS184" s="9"/>
      <c r="BT184" s="10"/>
      <c r="BU184" s="9"/>
      <c r="BV184" s="10"/>
      <c r="BW184" s="9"/>
      <c r="BX184"/>
      <c r="BY184"/>
      <c r="BZ184"/>
      <c r="CA184"/>
      <c r="CB184"/>
      <c r="CC184"/>
      <c r="CD184"/>
      <c r="CE184"/>
      <c r="CF184"/>
      <c r="CG184"/>
      <c r="CH184"/>
      <c r="CI184"/>
      <c r="CJ184"/>
      <c r="CK184"/>
      <c r="CL184"/>
      <c r="CM184"/>
      <c r="CN184"/>
      <c r="CO184"/>
      <c r="CP184"/>
      <c r="CQ184"/>
      <c r="CR184"/>
      <c r="CS184"/>
      <c r="CT184"/>
      <c r="CU184"/>
      <c r="CV184"/>
      <c r="CW184"/>
      <c r="CX184"/>
      <c r="CY184"/>
      <c r="CZ184"/>
      <c r="DA184"/>
      <c r="DB184"/>
      <c r="DC184"/>
      <c r="DD184"/>
      <c r="DE184"/>
      <c r="DF184"/>
      <c r="DG184"/>
      <c r="DH184"/>
      <c r="DI184"/>
      <c r="DJ184"/>
      <c r="DK184"/>
      <c r="DL184"/>
      <c r="DM184"/>
      <c r="DN184"/>
      <c r="DO184"/>
      <c r="DP184"/>
      <c r="DQ184"/>
      <c r="DR184"/>
      <c r="DS184"/>
      <c r="DT184"/>
    </row>
    <row r="185" spans="1:124" s="21" customFormat="1" hidden="1">
      <c r="A185" s="58"/>
      <c r="B185" s="31"/>
      <c r="J185" s="8"/>
      <c r="L185" s="141"/>
      <c r="M185" s="9"/>
      <c r="N185" s="10"/>
      <c r="O185" s="9"/>
      <c r="P185" s="10"/>
      <c r="Q185" s="9"/>
      <c r="R185" s="10"/>
      <c r="S185" s="9"/>
      <c r="T185" s="10"/>
      <c r="U185" s="9"/>
      <c r="V185" s="10"/>
      <c r="W185" s="9"/>
      <c r="X185" s="10"/>
      <c r="Y185" s="9"/>
      <c r="Z185" s="10"/>
      <c r="AA185" s="9"/>
      <c r="AB185" s="10"/>
      <c r="AC185" s="9"/>
      <c r="AD185" s="10"/>
      <c r="AE185" s="9"/>
      <c r="AF185" s="10"/>
      <c r="AG185" s="9"/>
      <c r="AH185" s="10"/>
      <c r="AI185" s="9"/>
      <c r="AJ185" s="10"/>
      <c r="AK185" s="9"/>
      <c r="AL185" s="10"/>
      <c r="AM185" s="9"/>
      <c r="AN185" s="10"/>
      <c r="AO185" s="9"/>
      <c r="AP185" s="10"/>
      <c r="AQ185" s="9"/>
      <c r="AR185" s="10"/>
      <c r="AS185" s="9"/>
      <c r="AT185" s="10"/>
      <c r="AU185" s="10"/>
      <c r="AV185" s="10"/>
      <c r="AW185" s="10"/>
      <c r="AX185" s="10"/>
      <c r="AY185" s="10"/>
      <c r="AZ185" s="10"/>
      <c r="BA185" s="10"/>
      <c r="BB185" s="10"/>
      <c r="BC185" s="10"/>
      <c r="BD185" s="10"/>
      <c r="BE185" s="10"/>
      <c r="BF185" s="10"/>
      <c r="BG185" s="10"/>
      <c r="BH185" s="10"/>
      <c r="BI185" s="10"/>
      <c r="BJ185" s="10"/>
      <c r="BK185" s="10"/>
      <c r="BL185" s="10" t="s">
        <v>442</v>
      </c>
      <c r="BM185" s="9"/>
      <c r="BN185" s="10">
        <v>152475904</v>
      </c>
      <c r="BO185" s="9"/>
      <c r="BP185" s="10"/>
      <c r="BQ185" s="9"/>
      <c r="BR185" s="10"/>
      <c r="BS185" s="9"/>
      <c r="BT185" s="10"/>
      <c r="BU185" s="9"/>
      <c r="BV185" s="10"/>
      <c r="BW185" s="9"/>
      <c r="BX185"/>
      <c r="BY185"/>
      <c r="BZ185"/>
      <c r="CA185"/>
      <c r="CB185"/>
      <c r="CC185"/>
      <c r="CD185"/>
      <c r="CE185"/>
      <c r="CF185"/>
      <c r="CG185"/>
      <c r="CH185"/>
      <c r="CI185"/>
      <c r="CJ185"/>
      <c r="CK185"/>
      <c r="CL185"/>
      <c r="CM185"/>
      <c r="CN185"/>
      <c r="CO185"/>
      <c r="CP185"/>
      <c r="CQ185"/>
      <c r="CR185"/>
      <c r="CS185"/>
      <c r="CT185"/>
      <c r="CU185"/>
      <c r="CV185"/>
      <c r="CW185"/>
      <c r="CX185"/>
      <c r="CY185"/>
      <c r="CZ185"/>
      <c r="DA185"/>
      <c r="DB185"/>
      <c r="DC185"/>
      <c r="DD185"/>
      <c r="DE185"/>
      <c r="DF185"/>
      <c r="DG185"/>
      <c r="DH185"/>
      <c r="DI185"/>
      <c r="DJ185"/>
      <c r="DK185"/>
      <c r="DL185"/>
      <c r="DM185"/>
      <c r="DN185"/>
      <c r="DO185"/>
      <c r="DP185"/>
      <c r="DQ185"/>
      <c r="DR185"/>
      <c r="DS185"/>
      <c r="DT185"/>
    </row>
    <row r="186" spans="1:124" s="21" customFormat="1" hidden="1">
      <c r="A186" s="58"/>
      <c r="B186" s="31"/>
      <c r="J186" s="8"/>
      <c r="L186" s="141"/>
      <c r="M186" s="9"/>
      <c r="N186" s="10"/>
      <c r="O186" s="9"/>
      <c r="P186" s="10"/>
      <c r="Q186" s="9"/>
      <c r="R186" s="10"/>
      <c r="S186" s="9"/>
      <c r="T186" s="10"/>
      <c r="U186" s="9"/>
      <c r="V186" s="10"/>
      <c r="W186" s="9"/>
      <c r="X186" s="10"/>
      <c r="Y186" s="9"/>
      <c r="Z186" s="10"/>
      <c r="AA186" s="9"/>
      <c r="AB186" s="10"/>
      <c r="AC186" s="9"/>
      <c r="AD186" s="10"/>
      <c r="AE186" s="9"/>
      <c r="AF186" s="10"/>
      <c r="AG186" s="9"/>
      <c r="AH186" s="10"/>
      <c r="AI186" s="9"/>
      <c r="AJ186" s="10"/>
      <c r="AK186" s="9"/>
      <c r="AL186" s="10"/>
      <c r="AM186" s="9"/>
      <c r="AN186" s="10"/>
      <c r="AO186" s="9"/>
      <c r="AP186" s="10"/>
      <c r="AQ186" s="9"/>
      <c r="AR186" s="10"/>
      <c r="AS186" s="9"/>
      <c r="AT186" s="10"/>
      <c r="AU186" s="10"/>
      <c r="AV186" s="10"/>
      <c r="AW186" s="10"/>
      <c r="AX186" s="10"/>
      <c r="AY186" s="10"/>
      <c r="AZ186" s="10"/>
      <c r="BA186" s="10"/>
      <c r="BB186" s="10"/>
      <c r="BC186" s="10"/>
      <c r="BD186" s="10">
        <f>150359340.02</f>
        <v>150359340.02000001</v>
      </c>
      <c r="BE186" s="10"/>
      <c r="BF186" s="10"/>
      <c r="BG186" s="10"/>
      <c r="BH186" s="10"/>
      <c r="BI186" s="10"/>
      <c r="BJ186" s="10"/>
      <c r="BK186" s="10"/>
      <c r="BL186" s="10"/>
      <c r="BM186" s="9"/>
      <c r="BN186" s="10">
        <f>BN183-BN185</f>
        <v>474752.2802951932</v>
      </c>
      <c r="BO186" s="9"/>
      <c r="BP186" s="10"/>
      <c r="BQ186" s="9"/>
      <c r="BR186" s="10"/>
      <c r="BS186" s="9"/>
      <c r="BT186" s="10"/>
      <c r="BU186" s="9"/>
      <c r="BV186" s="10"/>
      <c r="BW186" s="9"/>
      <c r="BX186"/>
      <c r="BY186"/>
      <c r="BZ186"/>
      <c r="CA186"/>
      <c r="CB186"/>
      <c r="CC186"/>
      <c r="CD186"/>
      <c r="CE186"/>
      <c r="CF186"/>
      <c r="CG186"/>
      <c r="CH186"/>
      <c r="CI186"/>
      <c r="CJ186"/>
      <c r="CK186"/>
      <c r="CL186"/>
      <c r="CM186"/>
      <c r="CN186"/>
      <c r="CO186"/>
      <c r="CP186"/>
      <c r="CQ186"/>
      <c r="CR186"/>
      <c r="CS186"/>
      <c r="CT186"/>
      <c r="CU186"/>
      <c r="CV186"/>
      <c r="CW186"/>
      <c r="CX186"/>
      <c r="CY186"/>
      <c r="CZ186"/>
      <c r="DA186"/>
      <c r="DB186"/>
      <c r="DC186"/>
      <c r="DD186"/>
      <c r="DE186"/>
      <c r="DF186"/>
      <c r="DG186"/>
      <c r="DH186"/>
      <c r="DI186"/>
      <c r="DJ186"/>
      <c r="DK186"/>
      <c r="DL186"/>
      <c r="DM186"/>
      <c r="DN186"/>
      <c r="DO186"/>
      <c r="DP186"/>
      <c r="DQ186"/>
      <c r="DR186"/>
      <c r="DS186"/>
      <c r="DT186"/>
    </row>
    <row r="187" spans="1:124" s="21" customFormat="1" hidden="1">
      <c r="A187" s="58"/>
      <c r="B187" s="31"/>
      <c r="J187" s="8"/>
      <c r="L187" s="141"/>
      <c r="M187" s="9"/>
      <c r="N187" s="10"/>
      <c r="O187" s="9"/>
      <c r="P187" s="10"/>
      <c r="Q187" s="9"/>
      <c r="R187" s="10"/>
      <c r="S187" s="9"/>
      <c r="T187" s="10"/>
      <c r="U187" s="9"/>
      <c r="V187" s="10"/>
      <c r="W187" s="9"/>
      <c r="X187" s="10"/>
      <c r="Y187" s="9"/>
      <c r="Z187" s="10"/>
      <c r="AA187" s="9"/>
      <c r="AB187" s="10"/>
      <c r="AC187" s="9"/>
      <c r="AD187" s="10"/>
      <c r="AE187" s="9"/>
      <c r="AF187" s="10"/>
      <c r="AG187" s="9"/>
      <c r="AH187" s="10"/>
      <c r="AI187" s="9"/>
      <c r="AJ187" s="10"/>
      <c r="AK187" s="9"/>
      <c r="AL187" s="10"/>
      <c r="AM187" s="9"/>
      <c r="AN187" s="10"/>
      <c r="AO187" s="9"/>
      <c r="AP187" s="10"/>
      <c r="AQ187" s="9"/>
      <c r="AR187" s="10"/>
      <c r="AS187" s="9"/>
      <c r="AT187" s="10"/>
      <c r="AU187" s="10"/>
      <c r="AV187" s="10"/>
      <c r="AW187" s="10"/>
      <c r="AX187" s="10"/>
      <c r="AY187" s="10"/>
      <c r="AZ187" s="10"/>
      <c r="BA187" s="10"/>
      <c r="BB187" s="10"/>
      <c r="BC187" s="10"/>
      <c r="BD187" s="10">
        <f>BD184-BD186</f>
        <v>-0.2597048282623291</v>
      </c>
      <c r="BE187" s="10"/>
      <c r="BF187" s="10"/>
      <c r="BG187" s="10"/>
      <c r="BH187" s="10"/>
      <c r="BI187" s="10"/>
      <c r="BJ187" s="10"/>
      <c r="BK187" s="10"/>
      <c r="BL187" s="10"/>
      <c r="BM187" s="9"/>
      <c r="BN187" s="10"/>
      <c r="BO187" s="9"/>
      <c r="BP187" s="10"/>
      <c r="BQ187" s="9"/>
      <c r="BR187" s="10"/>
      <c r="BS187" s="9"/>
      <c r="BT187" s="10"/>
      <c r="BU187" s="9"/>
      <c r="BV187" s="10"/>
      <c r="BW187" s="9"/>
      <c r="BX187"/>
      <c r="BY187"/>
      <c r="BZ187"/>
      <c r="CA187"/>
      <c r="CB187"/>
      <c r="CC187"/>
      <c r="CD187"/>
      <c r="CE187"/>
      <c r="CF187"/>
      <c r="CG187"/>
      <c r="CH187"/>
      <c r="CI187"/>
      <c r="CJ187"/>
      <c r="CK187"/>
      <c r="CL187"/>
      <c r="CM187"/>
      <c r="CN187"/>
      <c r="CO187"/>
      <c r="CP187"/>
      <c r="CQ187"/>
      <c r="CR187"/>
      <c r="CS187"/>
      <c r="CT187"/>
      <c r="CU187"/>
      <c r="CV187"/>
      <c r="CW187"/>
      <c r="CX187"/>
      <c r="CY187"/>
      <c r="CZ187"/>
      <c r="DA187"/>
      <c r="DB187"/>
      <c r="DC187"/>
      <c r="DD187"/>
      <c r="DE187"/>
      <c r="DF187"/>
      <c r="DG187"/>
      <c r="DH187"/>
      <c r="DI187"/>
      <c r="DJ187"/>
      <c r="DK187"/>
      <c r="DL187"/>
      <c r="DM187"/>
      <c r="DN187"/>
      <c r="DO187"/>
      <c r="DP187"/>
      <c r="DQ187"/>
      <c r="DR187"/>
      <c r="DS187"/>
      <c r="DT187"/>
    </row>
    <row r="188" spans="1:124" s="21" customFormat="1" hidden="1">
      <c r="A188" s="58"/>
      <c r="B188" s="31"/>
      <c r="J188" s="8"/>
      <c r="L188" s="141"/>
      <c r="M188" s="9"/>
      <c r="N188" s="10"/>
      <c r="O188" s="9"/>
      <c r="P188" s="10"/>
      <c r="Q188" s="9"/>
      <c r="R188" s="10"/>
      <c r="S188" s="9"/>
      <c r="T188" s="10"/>
      <c r="U188" s="9"/>
      <c r="V188" s="10"/>
      <c r="W188" s="9"/>
      <c r="X188" s="10"/>
      <c r="Y188" s="9"/>
      <c r="Z188" s="10"/>
      <c r="AA188" s="9"/>
      <c r="AB188" s="10"/>
      <c r="AC188" s="9"/>
      <c r="AD188" s="10"/>
      <c r="AE188" s="9"/>
      <c r="AF188" s="10"/>
      <c r="AG188" s="9"/>
      <c r="AH188" s="10"/>
      <c r="AI188" s="9"/>
      <c r="AJ188" s="10"/>
      <c r="AK188" s="9"/>
      <c r="AL188" s="10"/>
      <c r="AM188" s="9"/>
      <c r="AN188" s="10"/>
      <c r="AO188" s="9"/>
      <c r="AP188" s="10"/>
      <c r="AQ188" s="9"/>
      <c r="AR188" s="10"/>
      <c r="AS188" s="9"/>
      <c r="AT188" s="10"/>
      <c r="AU188" s="10"/>
      <c r="AV188" s="10"/>
      <c r="AW188" s="10"/>
      <c r="AX188" s="10"/>
      <c r="AY188" s="10"/>
      <c r="AZ188" s="10"/>
      <c r="BA188" s="10"/>
      <c r="BB188" s="10"/>
      <c r="BC188" s="10"/>
      <c r="BD188" s="10"/>
      <c r="BE188" s="10"/>
      <c r="BF188" s="10"/>
      <c r="BG188" s="10"/>
      <c r="BH188" s="10"/>
      <c r="BI188" s="10"/>
      <c r="BJ188" s="10"/>
      <c r="BK188" s="10"/>
      <c r="BL188" s="10"/>
      <c r="BM188" s="9"/>
      <c r="BN188" s="10"/>
      <c r="BO188" s="9"/>
      <c r="BP188" s="10"/>
      <c r="BQ188" s="9"/>
      <c r="BR188" s="10"/>
      <c r="BS188" s="9"/>
      <c r="BT188" s="10"/>
      <c r="BU188" s="9"/>
      <c r="BV188" s="10"/>
      <c r="BW188" s="9"/>
      <c r="BX188"/>
      <c r="BY188"/>
      <c r="BZ188"/>
      <c r="CA188"/>
      <c r="CB188"/>
      <c r="CC188"/>
      <c r="CD188"/>
      <c r="CE188"/>
      <c r="CF188"/>
      <c r="CG188"/>
      <c r="CH188"/>
      <c r="CI188"/>
      <c r="CJ188"/>
      <c r="CK188"/>
      <c r="CL188"/>
      <c r="CM188"/>
      <c r="CN188"/>
      <c r="CO188"/>
      <c r="CP188"/>
      <c r="CQ188"/>
      <c r="CR188"/>
      <c r="CS188"/>
      <c r="CT188"/>
      <c r="CU188"/>
      <c r="CV188"/>
      <c r="CW188"/>
      <c r="CX188"/>
      <c r="CY188"/>
      <c r="CZ188"/>
      <c r="DA188"/>
      <c r="DB188"/>
      <c r="DC188"/>
      <c r="DD188"/>
      <c r="DE188"/>
      <c r="DF188"/>
      <c r="DG188"/>
      <c r="DH188"/>
      <c r="DI188"/>
      <c r="DJ188"/>
      <c r="DK188"/>
      <c r="DL188"/>
      <c r="DM188"/>
      <c r="DN188"/>
      <c r="DO188"/>
      <c r="DP188"/>
      <c r="DQ188"/>
      <c r="DR188"/>
      <c r="DS188"/>
      <c r="DT188"/>
    </row>
    <row r="189" spans="1:124" hidden="1"/>
  </sheetData>
  <printOptions horizontalCentered="1"/>
  <pageMargins left="0.19" right="0.17" top="0.4" bottom="0.27" header="0.5" footer="0.23"/>
  <pageSetup scale="46" fitToHeight="2" orientation="landscape" horizontalDpi="300" verticalDpi="300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13</vt:i4>
      </vt:variant>
    </vt:vector>
  </HeadingPairs>
  <TitlesOfParts>
    <vt:vector size="22" baseType="lpstr">
      <vt:lpstr>Sheet2</vt:lpstr>
      <vt:lpstr>NA Mquip</vt:lpstr>
      <vt:lpstr>EECC</vt:lpstr>
      <vt:lpstr>To Update</vt:lpstr>
      <vt:lpstr>Summary</vt:lpstr>
      <vt:lpstr>Wilton</vt:lpstr>
      <vt:lpstr>Calvert City</vt:lpstr>
      <vt:lpstr>Gleason</vt:lpstr>
      <vt:lpstr>Wheatland</vt:lpstr>
      <vt:lpstr>'Calvert City'!Print_Area</vt:lpstr>
      <vt:lpstr>Gleason!Print_Area</vt:lpstr>
      <vt:lpstr>Summary!Print_Area</vt:lpstr>
      <vt:lpstr>Wheatland!Print_Area</vt:lpstr>
      <vt:lpstr>Wilton!Print_Area</vt:lpstr>
      <vt:lpstr>'Calvert City'!Print_Titles</vt:lpstr>
      <vt:lpstr>Gleason!Print_Titles</vt:lpstr>
      <vt:lpstr>Wheatland!Print_Titles</vt:lpstr>
      <vt:lpstr>Wilton!Print_Titles</vt:lpstr>
      <vt:lpstr>'Calvert City'!To_Hide</vt:lpstr>
      <vt:lpstr>Gleason!To_Hide</vt:lpstr>
      <vt:lpstr>Wheatland!To_Hide</vt:lpstr>
      <vt:lpstr>Wilton!To_Hide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tshepperd</dc:creator>
  <cp:lastModifiedBy>Jan Havlíček</cp:lastModifiedBy>
  <cp:lastPrinted>2000-10-23T15:19:02Z</cp:lastPrinted>
  <dcterms:created xsi:type="dcterms:W3CDTF">1998-11-04T14:40:39Z</dcterms:created>
  <dcterms:modified xsi:type="dcterms:W3CDTF">2023-09-13T21:23:35Z</dcterms:modified>
</cp:coreProperties>
</file>