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DAD282-F492-4F0F-9E64-42402491163C}" xr6:coauthVersionLast="47" xr6:coauthVersionMax="47" xr10:uidLastSave="{00000000-0000-0000-0000-000000000000}"/>
  <bookViews>
    <workbookView xWindow="-120" yWindow="-120" windowWidth="38640" windowHeight="1572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Gleason" sheetId="12" r:id="rId9"/>
    <sheet name="Wheatland" sheetId="13" r:id="rId10"/>
    <sheet name="Wilton" sheetId="14" r:id="rId11"/>
    <sheet name="Allocation" sheetId="16" r:id="rId12"/>
  </sheets>
  <externalReferences>
    <externalReference r:id="rId13"/>
    <externalReference r:id="rId14"/>
    <externalReference r:id="rId15"/>
  </externalReferences>
  <definedNames>
    <definedName name="a" hidden="1">{"Income Statement",#N/A,FALSE,"CFMODEL";"Balance Sheet",#N/A,FALSE,"CFMODEL"}</definedName>
    <definedName name="AnnualHours" localSheetId="6">[3]Assumptions!#REF!</definedName>
    <definedName name="b" hidden="1">{"SourcesUses",#N/A,TRUE,"CFMODEL";"TransOverview",#N/A,TRUE,"CFMODEL"}</definedName>
    <definedName name="Begin_Op" localSheetId="6">'[1]Consol Summary'!$N$7</definedName>
    <definedName name="blm_share" localSheetId="8">Gleason!#REF!</definedName>
    <definedName name="blm_share" localSheetId="9">Wheatland!#REF!</definedName>
    <definedName name="chillers" localSheetId="6">'[1]Consol Summary'!$M$65</definedName>
    <definedName name="coso" localSheetId="8">Gleason!#REF!</definedName>
    <definedName name="coso" localSheetId="9">Wheatland!#REF!</definedName>
    <definedName name="Coso_Distributable_Cash" localSheetId="8">Gleason!#REF!</definedName>
    <definedName name="Coso_Distributable_Cash" localSheetId="9">Wheatland!#REF!</definedName>
    <definedName name="Coso_Net_ATCash" localSheetId="8">Gleason!#REF!</definedName>
    <definedName name="Coso_Net_ATCash" localSheetId="9">Wheatland!#REF!</definedName>
    <definedName name="Coso_Net_Income" localSheetId="8">Gleason!#REF!</definedName>
    <definedName name="Coso_Net_Income" localSheetId="9">Wheatland!#REF!</definedName>
    <definedName name="d" hidden="1">{"SourcesUses",#N/A,TRUE,#N/A;"TransOverview",#N/A,TRUE,"CFMODEL"}</definedName>
    <definedName name="Distributable_Cash" localSheetId="8">Gleason!#REF!</definedName>
    <definedName name="Distributable_Cash" localSheetId="9">Wheatland!#REF!</definedName>
    <definedName name="e" hidden="1">{"SourcesUses",#N/A,TRUE,"FundsFlow";"TransOverview",#N/A,TRUE,"FundsFlow"}</definedName>
    <definedName name="Energy_Credit_Coso" localSheetId="8">Gleason!#REF!</definedName>
    <definedName name="Energy_Credit_Coso" localSheetId="9">Wheatland!#REF!</definedName>
    <definedName name="Energy_Credit_Imperial" localSheetId="8">Gleason!#REF!</definedName>
    <definedName name="Energy_Credit_Imperial" localSheetId="9">Wheatland!#REF!</definedName>
    <definedName name="FPOC_Distributable_Cash" localSheetId="8">Gleason!#REF!</definedName>
    <definedName name="FPOC_Distributable_Cash" localSheetId="9">Wheatland!#REF!</definedName>
    <definedName name="FPOC_Net_ATCash" localSheetId="8">Gleason!#REF!</definedName>
    <definedName name="FPOC_Net_ATCash" localSheetId="9">Wheatland!#REF!</definedName>
    <definedName name="FPOC_Net_Income" localSheetId="8">Gleason!#REF!</definedName>
    <definedName name="FPOC_Net_Income" localSheetId="9">Wheatland!#REF!</definedName>
    <definedName name="FSGC_ATCash" localSheetId="8">Gleason!#REF!</definedName>
    <definedName name="FSGC_ATCash" localSheetId="9">Wheatland!#REF!</definedName>
    <definedName name="FSGC_Distributable_Cash" localSheetId="8">Gleason!#REF!</definedName>
    <definedName name="FSGC_Distributable_Cash" localSheetId="9">Wheatland!#REF!</definedName>
    <definedName name="FSGC_Net_Income" localSheetId="8">Gleason!#REF!</definedName>
    <definedName name="FSGC_Net_Income" localSheetId="9">Wheatland!#REF!</definedName>
    <definedName name="Imperial_Distributable_Cash" localSheetId="8">Gleason!#REF!</definedName>
    <definedName name="Imperial_Distributable_Cash" localSheetId="9">Wheatland!#REF!</definedName>
    <definedName name="Imperial_Geothermal" localSheetId="8">Gleason!#REF!</definedName>
    <definedName name="Imperial_Geothermal" localSheetId="9">Wheatland!#REF!</definedName>
    <definedName name="Imperial_Net_ATCash" localSheetId="8">Gleason!#REF!</definedName>
    <definedName name="Imperial_Net_ATCash" localSheetId="9">Wheatland!#REF!</definedName>
    <definedName name="Imperial_Net_Income" localSheetId="8">Gleason!#REF!</definedName>
    <definedName name="Imperial_Net_Income" localSheetId="9">Wheatland!#REF!</definedName>
    <definedName name="Main_Table" localSheetId="6">'[1]Consol Summary'!$D$22:$I$45</definedName>
    <definedName name="Maint_Accrual" localSheetId="6">[3]Assumptions!#REF!</definedName>
    <definedName name="Minerals" localSheetId="8">Gleason!#REF!</definedName>
    <definedName name="Minerals" localSheetId="9">Wheatland!#REF!</definedName>
    <definedName name="Minerals_Distributable_Cash" localSheetId="8">Gleason!#REF!</definedName>
    <definedName name="Minerals_Distributable_Cash" localSheetId="9">Wheatland!#REF!</definedName>
    <definedName name="Minerals_Net_ATCash" localSheetId="8">Gleason!#REF!</definedName>
    <definedName name="Minerals_Net_ATCash" localSheetId="9">Wheatland!#REF!</definedName>
    <definedName name="Minerals_Net_Income" localSheetId="8">Gleason!#REF!</definedName>
    <definedName name="Minerals_Net_Income" localSheetId="9">Wheatland!#REF!</definedName>
    <definedName name="navyi_share" localSheetId="8">Gleason!#REF!</definedName>
    <definedName name="navyi_share" localSheetId="9">Wheatland!#REF!</definedName>
    <definedName name="navyII_share" localSheetId="8">Gleason!#REF!</definedName>
    <definedName name="navyII_share" localSheetId="9">Wheatland!#REF!</definedName>
    <definedName name="Net_ATCash" localSheetId="8">Gleason!#REF!</definedName>
    <definedName name="Net_ATCash" localSheetId="9">Wheatland!#REF!</definedName>
    <definedName name="Net_Income_Unlevered" localSheetId="8">Gleason!#REF!</definedName>
    <definedName name="Net_Income_Unlevered" localSheetId="9">Wheatland!#REF!</definedName>
    <definedName name="Norcon_Distributable_Cash" localSheetId="8">Gleason!#REF!</definedName>
    <definedName name="Norcon_Distributable_Cash" localSheetId="9">Wheatland!#REF!</definedName>
    <definedName name="Norcon_Net_ATCash" localSheetId="8">Gleason!#REF!</definedName>
    <definedName name="Norcon_Net_ATCash" localSheetId="9">Wheatland!#REF!</definedName>
    <definedName name="Norcon_Net_Income" localSheetId="8">Gleason!#REF!</definedName>
    <definedName name="Norcon_Net_Income" localSheetId="9">Wheatland!#REF!</definedName>
    <definedName name="PERIOD1" localSheetId="6">'[1]Consol Summary'!#REF!</definedName>
    <definedName name="PERIOD2" localSheetId="6">'[1]Consol Summary'!#REF!</definedName>
    <definedName name="PRI_Cash_Taxes" localSheetId="8">Gleason!#REF!</definedName>
    <definedName name="PRI_Cash_Taxes" localSheetId="9">Wheatland!#REF!</definedName>
    <definedName name="PRI_Net_ATCash" localSheetId="8">Gleason!#REF!</definedName>
    <definedName name="PRI_Net_ATCash" localSheetId="9">Wheatland!#REF!</definedName>
    <definedName name="PRI_Net_Income" localSheetId="8">Gleason!#REF!</definedName>
    <definedName name="PRI_Net_Income" localSheetId="9">Wheatland!#REF!</definedName>
    <definedName name="principal" localSheetId="6">'[1]Consol Summary'!#REF!</definedName>
    <definedName name="_xlnm.Print_Area" localSheetId="11">Allocation!$A$1:$E$10</definedName>
    <definedName name="_xlnm.Print_Area" localSheetId="1">Assumptions!$A$1:$G$42</definedName>
    <definedName name="_xlnm.Print_Area" localSheetId="5">CF!$A$1:$V$33</definedName>
    <definedName name="_xlnm.Print_Area" localSheetId="4">Debt!$A$1:$U$88</definedName>
    <definedName name="_xlnm.Print_Area" localSheetId="6">Depreciation!$A$2:$V$65</definedName>
    <definedName name="_xlnm.Print_Area" localSheetId="8">Gleason!$A$2:$U$97</definedName>
    <definedName name="_xlnm.Print_Area" localSheetId="3">IS!$A$2:$U$40</definedName>
    <definedName name="_xlnm.Print_Area" localSheetId="7">Tax!$A$2:$U$20</definedName>
    <definedName name="_xlnm.Print_Area" localSheetId="9">Wheatland!$A$2:$U$98</definedName>
    <definedName name="_xlnm.Print_Area" localSheetId="10">Wilton!$A$2:$U$91</definedName>
    <definedName name="Saranac_Distributable_Cash" localSheetId="8">Gleason!#REF!</definedName>
    <definedName name="Saranac_Distributable_Cash" localSheetId="9">Wheatland!#REF!</definedName>
    <definedName name="Saranac_Net_ATCash" localSheetId="8">Gleason!#REF!</definedName>
    <definedName name="Saranac_Net_ATCash" localSheetId="9">Wheatland!#REF!</definedName>
    <definedName name="Saranac_Net_Income" localSheetId="8">Gleason!#REF!</definedName>
    <definedName name="Saranac_Net_Income" localSheetId="9">Wheatland!#REF!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'[1]Consol Summary'!#REF!</definedName>
    <definedName name="Tax_Depreciation" localSheetId="8">Gleason!#REF!</definedName>
    <definedName name="Tax_Depreciation" localSheetId="9">Wheatland!#REF!</definedName>
    <definedName name="Taxable_Income" localSheetId="8">Gleason!#REF!</definedName>
    <definedName name="Taxable_Income" localSheetId="9">Wheatland!#REF!</definedName>
    <definedName name="Variable" localSheetId="6">[3]Assumptions!#REF!</definedName>
    <definedName name="WaterTreatmentVar" localSheetId="6">[3]Assumptions!#REF!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8">Gleason!#REF!</definedName>
    <definedName name="Yuma_Distributable_Cash" localSheetId="9">Wheatland!#REF!</definedName>
    <definedName name="Yuma_Net_ATCash" localSheetId="8">Gleason!#REF!</definedName>
    <definedName name="Yuma_Net_ATCash" localSheetId="9">Wheatland!#REF!</definedName>
    <definedName name="Yuma_Net_Income" localSheetId="8">Gleason!#REF!</definedName>
    <definedName name="Yuma_Net_Income" localSheetId="9">Wheatland!#REF!</definedName>
    <definedName name="zinc" localSheetId="8">Gleason!$X$14</definedName>
    <definedName name="zinc" localSheetId="9">Wheatland!$X$11</definedName>
    <definedName name="Zinc_Distributable_Cash" localSheetId="8">Gleason!#REF!</definedName>
    <definedName name="Zinc_Distributable_Cash" localSheetId="9">Wheatland!$D$99:$U$99</definedName>
    <definedName name="Zinc_Net_ATCash" localSheetId="8">Gleason!#REF!</definedName>
    <definedName name="Zinc_Net_ATCash" localSheetId="9">Wheatland!$D$100:$U$100</definedName>
    <definedName name="Zinc_Net_Income" localSheetId="8">Gleason!#REF!</definedName>
    <definedName name="Zinc_Net_Income" localSheetId="9">Wheatland!$D$98:$U$98</definedName>
  </definedNames>
  <calcPr calcId="0" calcMode="autoNoTable" iterate="1"/>
</workbook>
</file>

<file path=xl/calcChain.xml><?xml version="1.0" encoding="utf-8"?>
<calcChain xmlns="http://schemas.openxmlformats.org/spreadsheetml/2006/main">
  <c r="C10" i="16" l="1"/>
  <c r="E10" i="16"/>
  <c r="G8" i="23"/>
  <c r="G9" i="23"/>
  <c r="G10" i="23"/>
  <c r="G11" i="23"/>
  <c r="D16" i="23"/>
  <c r="E16" i="23"/>
  <c r="C17" i="23"/>
  <c r="D17" i="23"/>
  <c r="E17" i="23"/>
  <c r="C18" i="23"/>
  <c r="D18" i="23"/>
  <c r="E18" i="23"/>
  <c r="D25" i="23"/>
  <c r="E25" i="23"/>
  <c r="C29" i="23"/>
  <c r="D29" i="23"/>
  <c r="E29" i="23"/>
  <c r="C30" i="23"/>
  <c r="D30" i="23"/>
  <c r="E30" i="23"/>
  <c r="C32" i="23"/>
  <c r="D32" i="23"/>
  <c r="E32" i="23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X14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X34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5" i="22"/>
  <c r="C45" i="22"/>
  <c r="D45" i="22"/>
  <c r="E45" i="22"/>
  <c r="F45" i="22"/>
  <c r="G45" i="22"/>
  <c r="H45" i="22"/>
  <c r="I45" i="22"/>
  <c r="J45" i="22"/>
  <c r="K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B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W54" i="22"/>
  <c r="X54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L65" i="22"/>
  <c r="M65" i="22"/>
  <c r="N65" i="22"/>
  <c r="O65" i="22"/>
  <c r="P65" i="22"/>
  <c r="Q65" i="22"/>
  <c r="R65" i="22"/>
  <c r="S65" i="22"/>
  <c r="T65" i="22"/>
  <c r="U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D84" i="22"/>
  <c r="D85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E99" i="22"/>
  <c r="J99" i="22"/>
  <c r="O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B110" i="22"/>
  <c r="B111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Y38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W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W10" i="12"/>
  <c r="W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W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W13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W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W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W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W29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W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W38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W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W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W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W51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W53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W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W56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W58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W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W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W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W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W74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W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8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W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W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W86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S91" i="12"/>
  <c r="T91" i="12"/>
  <c r="U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T93" i="12"/>
  <c r="U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W97" i="12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C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B7" i="2"/>
  <c r="C7" i="2"/>
  <c r="F7" i="2"/>
  <c r="G7" i="2"/>
  <c r="B8" i="2"/>
  <c r="C8" i="2"/>
  <c r="B9" i="2"/>
  <c r="C9" i="2"/>
  <c r="F9" i="2"/>
  <c r="G9" i="2"/>
  <c r="E15" i="2"/>
  <c r="B16" i="2"/>
  <c r="C16" i="2"/>
  <c r="D16" i="2"/>
  <c r="B18" i="2"/>
  <c r="C18" i="2"/>
  <c r="D18" i="2"/>
  <c r="E20" i="2"/>
  <c r="E21" i="2"/>
  <c r="B22" i="2"/>
  <c r="C22" i="2"/>
  <c r="D22" i="2"/>
  <c r="E22" i="2"/>
  <c r="B35" i="2"/>
  <c r="B38" i="2"/>
  <c r="D43" i="2"/>
  <c r="E43" i="2"/>
  <c r="D46" i="2"/>
  <c r="D48" i="2"/>
  <c r="D50" i="2"/>
  <c r="D52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W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W10" i="13"/>
  <c r="W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W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W13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W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W20" i="13"/>
  <c r="W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W22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W27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W29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W31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W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W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W38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W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W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W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W51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W53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W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W56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W58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W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W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W87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S92" i="13"/>
  <c r="T92" i="13"/>
  <c r="U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T94" i="13"/>
  <c r="U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W98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W100" i="13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W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W10" i="14"/>
  <c r="W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W13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W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W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W22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W29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W31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W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W36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W38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W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W49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W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W51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W53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W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W56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W58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W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W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W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W80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S85" i="14"/>
  <c r="T85" i="14"/>
  <c r="U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T87" i="14"/>
  <c r="U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W91" i="14"/>
</calcChain>
</file>

<file path=xl/sharedStrings.xml><?xml version="1.0" encoding="utf-8"?>
<sst xmlns="http://schemas.openxmlformats.org/spreadsheetml/2006/main" count="499" uniqueCount="236">
  <si>
    <t>DSCR</t>
  </si>
  <si>
    <t>SOURCES &amp; USES:</t>
  </si>
  <si>
    <t>TECHNICAL ASSUMPTIONS:</t>
  </si>
  <si>
    <t>2000 PROJECTS</t>
  </si>
  <si>
    <t>Sources of Funds</t>
  </si>
  <si>
    <t>%</t>
  </si>
  <si>
    <t>000 $</t>
  </si>
  <si>
    <t xml:space="preserve">Total Equity 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</si>
  <si>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</si>
  <si>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</si>
  <si>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</si>
  <si>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</si>
  <si>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</si>
  <si>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</si>
  <si>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</si>
  <si>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</si>
  <si>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</si>
  <si>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</si>
  <si>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</si>
  <si>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</si>
  <si>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</si>
  <si>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</si>
  <si>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</si>
  <si>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</si>
  <si>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</si>
  <si>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</si>
  <si>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</si>
  <si>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</si>
  <si>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</si>
  <si>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</si>
  <si>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</si>
  <si>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</si>
  <si>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</si>
  <si>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</si>
  <si>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</si>
  <si>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</si>
  <si>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</si>
  <si>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</si>
  <si>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</si>
  <si>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</si>
  <si>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</si>
  <si>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</si>
  <si>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</si>
  <si>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</si>
  <si>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</si>
  <si>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</si>
  <si>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</si>
  <si>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</si>
  <si>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</si>
  <si>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</si>
  <si>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</si>
  <si>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</si>
  <si>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</si>
  <si>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</si>
  <si>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</si>
  <si>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</si>
  <si>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</si>
  <si>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</si>
  <si>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</si>
  <si>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</si>
  <si>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</si>
  <si>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</si>
  <si>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</si>
  <si>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</si>
  <si>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</si>
  <si>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</si>
  <si>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</si>
  <si>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</si>
  <si>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</si>
  <si>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</si>
  <si>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</si>
  <si>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</si>
  <si>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</si>
  <si>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</si>
  <si>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</si>
  <si>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</si>
  <si>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</si>
  <si>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</si>
  <si>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</si>
  <si>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</si>
  <si>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</si>
  <si>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</si>
  <si>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</si>
  <si>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</si>
  <si>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</si>
  <si>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</si>
  <si>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</si>
  <si>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</si>
  <si>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</si>
  <si>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</si>
  <si>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</si>
  <si>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</si>
  <si>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</si>
  <si>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</si>
  <si>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</si>
  <si>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</si>
  <si>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</si>
  <si>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</si>
  <si>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</si>
  <si>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</si>
  <si>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</si>
  <si>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</si>
  <si>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</si>
  <si>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</si>
  <si>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</si>
  <si>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</si>
  <si>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</si>
  <si>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</si>
  <si>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</si>
  <si>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</si>
  <si>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</si>
  <si>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</si>
  <si>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</si>
  <si>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</si>
  <si>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</si>
  <si>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</si>
  <si>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</si>
  <si>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</si>
  <si>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</si>
  <si>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</si>
  <si>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</si>
  <si>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</si>
  <si>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</si>
  <si>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</si>
  <si>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</si>
  <si>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</si>
  <si>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</si>
  <si>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</si>
  <si>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</si>
  <si>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</si>
  <si>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</si>
  <si>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</si>
  <si>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</si>
  <si>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</si>
  <si>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</si>
  <si>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</si>
  <si>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</si>
  <si>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</si>
  <si>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</si>
  <si>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</si>
  <si>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</si>
  <si>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</si>
  <si>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</si>
  <si>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</si>
  <si>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</si>
  <si>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</si>
  <si>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</si>
  <si>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</si>
  <si>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</si>
  <si>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</si>
  <si>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</si>
  <si>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</si>
  <si>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Interest Income</t>
  </si>
  <si>
    <t>Plus Property Tax Liability</t>
  </si>
  <si>
    <t>Less Property Tax Expense</t>
  </si>
  <si>
    <t>GENCO FEDERAL TAXES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</si>
  <si>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</si>
  <si>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</si>
  <si>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</si>
  <si>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</si>
  <si>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</si>
  <si>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</si>
  <si>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</si>
  <si>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</si>
  <si>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</si>
  <si>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</si>
  <si>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</si>
  <si>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</si>
  <si>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</si>
  <si>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Outstanding Debt</t>
  </si>
  <si>
    <t>Property Taxes Liability</t>
  </si>
  <si>
    <t>STATE TAX &amp; FRANCHISE TAX - GLEASON</t>
  </si>
  <si>
    <t>Book Value of Assets</t>
  </si>
  <si>
    <t>Total Capitalization</t>
  </si>
  <si>
    <t>Total Project Cost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</si>
  <si>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</si>
  <si>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</si>
  <si>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</si>
  <si>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</si>
  <si>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</si>
  <si>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</si>
  <si>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</si>
  <si>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Charge ($/MWh)</t>
  </si>
  <si>
    <t>Greater of Book Value and Capitalization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</si>
  <si>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</si>
  <si>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</si>
  <si>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</si>
  <si>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</si>
  <si>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Total Debt</t>
  </si>
  <si>
    <t>After Tax Book Income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</si>
  <si>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</si>
  <si>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</si>
  <si>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</si>
  <si>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</si>
  <si>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</si>
  <si>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</si>
  <si>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Required After-Tax Rate of Return (%)</t>
  </si>
  <si>
    <t>NOL Carryforward</t>
  </si>
  <si>
    <t>Total Federal Cash Taxes Payable/(Benefit)</t>
  </si>
  <si>
    <t xml:space="preserve">Franchise Tax </t>
  </si>
  <si>
    <t xml:space="preserve">Treasury Rate (%) </t>
  </si>
  <si>
    <t>Amortization %</t>
  </si>
  <si>
    <t>Uses of Funds</t>
  </si>
  <si>
    <t>2000 Plants</t>
  </si>
  <si>
    <t>POWER PRICE ASSUMPTION</t>
  </si>
  <si>
    <t>All-in Coupon Rate (%)</t>
  </si>
  <si>
    <t>Total State &amp; Misc. Taxes</t>
  </si>
  <si>
    <t>Weighted Average Heat Rate (Btu/kWh)</t>
  </si>
  <si>
    <t>Summer Heat Rate (HHV, Btu/kWh)</t>
  </si>
  <si>
    <t>Pre-Tax Cash Flow</t>
  </si>
  <si>
    <t>After-Tax Cash Flow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</si>
  <si>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</si>
  <si>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</si>
  <si>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</si>
  <si>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</si>
  <si>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</si>
  <si>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</si>
  <si>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</si>
  <si>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</si>
  <si>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</si>
  <si>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</si>
  <si>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</si>
  <si>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</si>
  <si>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</si>
  <si>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</si>
  <si>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</si>
  <si>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</si>
  <si>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Merchant Period:</t>
  </si>
  <si>
    <t>Summer Capacity (MW)</t>
  </si>
  <si>
    <t>Variable O&amp;M ($/MWh)</t>
  </si>
  <si>
    <t>Property Tax Liability</t>
  </si>
  <si>
    <t>(for Gleason)</t>
  </si>
  <si>
    <t>Gleason Capacity Price Curve</t>
  </si>
  <si>
    <t>Pretax Book Income</t>
  </si>
  <si>
    <t>Retained Earnings</t>
  </si>
  <si>
    <t>Gross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</si>
</sst>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92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4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12"/>
      <name val="Arial"/>
      <family val="2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20"/>
      <name val="Arial"/>
      <family val="2"/>
    </font>
    <font>
      <sz val="10"/>
      <color indexed="10"/>
      <name val="Arial"/>
      <family val="2"/>
    </font>
    <font>
      <b/>
      <sz val="14"/>
      <color indexed="8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b/>
      <sz val="11"/>
      <name val="Arial"/>
      <family val="2"/>
    </font>
    <font>
      <i/>
      <u/>
      <sz val="8"/>
      <name val="Arial"/>
      <family val="2"/>
    </font>
    <font>
      <b/>
      <u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12" fillId="4" borderId="0" applyNumberFormat="0" applyBorder="0" applyAlignment="0" applyProtection="0"/>
    <xf numFmtId="0" fontId="2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1" fillId="0" borderId="2" applyNumberFormat="0" applyFill="0" applyAlignment="0" applyProtection="0"/>
    <xf numFmtId="10" fontId="12" fillId="5" borderId="3" applyNumberFormat="0" applyBorder="0" applyAlignment="0" applyProtection="0"/>
    <xf numFmtId="37" fontId="27" fillId="0" borderId="0"/>
    <xf numFmtId="170" fontId="28" fillId="0" borderId="0"/>
    <xf numFmtId="0" fontId="1" fillId="0" borderId="0"/>
    <xf numFmtId="37" fontId="3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12" fillId="8" borderId="0" applyNumberFormat="0" applyBorder="0" applyAlignment="0" applyProtection="0"/>
    <xf numFmtId="37" fontId="12" fillId="8" borderId="0" applyNumberFormat="0" applyBorder="0" applyAlignment="0" applyProtection="0"/>
    <xf numFmtId="37" fontId="3" fillId="0" borderId="0"/>
    <xf numFmtId="37" fontId="3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22">
    <xf numFmtId="0" fontId="0" fillId="0" borderId="0" xfId="0"/>
    <xf numFmtId="0" fontId="12" fillId="0" borderId="0" xfId="0" applyFont="1"/>
    <xf numFmtId="1" fontId="12" fillId="0" borderId="0" xfId="0" applyNumberFormat="1" applyFont="1" applyBorder="1"/>
    <xf numFmtId="166" fontId="12" fillId="0" borderId="0" xfId="3" applyNumberFormat="1" applyFont="1" applyBorder="1"/>
    <xf numFmtId="0" fontId="12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38" fontId="6" fillId="0" borderId="0" xfId="0" applyNumberFormat="1" applyFont="1" applyBorder="1"/>
    <xf numFmtId="0" fontId="64" fillId="0" borderId="6" xfId="0" applyFont="1" applyBorder="1"/>
    <xf numFmtId="0" fontId="64" fillId="0" borderId="0" xfId="0" applyFont="1" applyBorder="1"/>
    <xf numFmtId="0" fontId="64" fillId="0" borderId="9" xfId="0" applyFont="1" applyBorder="1"/>
    <xf numFmtId="40" fontId="6" fillId="0" borderId="0" xfId="0" applyNumberFormat="1" applyFont="1" applyBorder="1"/>
    <xf numFmtId="40" fontId="6" fillId="0" borderId="9" xfId="0" applyNumberFormat="1" applyFont="1" applyBorder="1"/>
    <xf numFmtId="173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/>
    <xf numFmtId="9" fontId="6" fillId="0" borderId="0" xfId="0" applyNumberFormat="1" applyFont="1" applyBorder="1"/>
    <xf numFmtId="210" fontId="6" fillId="0" borderId="9" xfId="0" applyNumberFormat="1" applyFont="1" applyBorder="1"/>
    <xf numFmtId="10" fontId="6" fillId="0" borderId="0" xfId="0" applyNumberFormat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Alignment="1">
      <alignment horizontal="center"/>
    </xf>
    <xf numFmtId="0" fontId="64" fillId="0" borderId="0" xfId="0" applyFont="1"/>
    <xf numFmtId="0" fontId="64" fillId="4" borderId="0" xfId="17" applyFont="1" applyFill="1" applyBorder="1"/>
    <xf numFmtId="0" fontId="67" fillId="0" borderId="12" xfId="0" applyFont="1" applyFill="1" applyBorder="1" applyAlignment="1" applyProtection="1">
      <alignment horizontal="left"/>
    </xf>
    <xf numFmtId="0" fontId="6" fillId="0" borderId="6" xfId="0" applyFont="1" applyFill="1" applyBorder="1"/>
    <xf numFmtId="0" fontId="68" fillId="0" borderId="8" xfId="0" applyFont="1" applyBorder="1" applyAlignment="1" applyProtection="1">
      <alignment horizontal="left"/>
    </xf>
    <xf numFmtId="0" fontId="68" fillId="0" borderId="0" xfId="0" applyFont="1" applyBorder="1" applyAlignment="1">
      <alignment horizontal="center"/>
    </xf>
    <xf numFmtId="6" fontId="68" fillId="0" borderId="0" xfId="0" quotePrefix="1" applyNumberFormat="1" applyFont="1" applyBorder="1" applyAlignment="1">
      <alignment horizontal="center"/>
    </xf>
    <xf numFmtId="0" fontId="68" fillId="0" borderId="0" xfId="0" applyFont="1" applyBorder="1" applyAlignment="1" applyProtection="1">
      <alignment horizontal="left"/>
    </xf>
    <xf numFmtId="0" fontId="68" fillId="0" borderId="9" xfId="0" quotePrefix="1" applyFont="1" applyBorder="1" applyAlignment="1">
      <alignment horizontal="center"/>
    </xf>
    <xf numFmtId="0" fontId="6" fillId="0" borderId="8" xfId="0" applyFont="1" applyBorder="1" applyAlignment="1" applyProtection="1">
      <alignment horizontal="left"/>
    </xf>
    <xf numFmtId="9" fontId="6" fillId="0" borderId="0" xfId="0" applyNumberFormat="1" applyFont="1" applyFill="1" applyBorder="1" applyAlignment="1">
      <alignment horizontal="center"/>
    </xf>
    <xf numFmtId="38" fontId="6" fillId="0" borderId="0" xfId="3" applyNumberFormat="1" applyFont="1" applyBorder="1" applyAlignment="1">
      <alignment horizontal="center"/>
    </xf>
    <xf numFmtId="0" fontId="6" fillId="0" borderId="0" xfId="0" applyFont="1" applyBorder="1" applyAlignment="1" applyProtection="1">
      <alignment horizontal="left"/>
    </xf>
    <xf numFmtId="9" fontId="68" fillId="0" borderId="0" xfId="0" applyNumberFormat="1" applyFont="1" applyFill="1" applyBorder="1" applyAlignment="1">
      <alignment horizontal="center"/>
    </xf>
    <xf numFmtId="38" fontId="68" fillId="0" borderId="0" xfId="3" applyNumberFormat="1" applyFont="1" applyBorder="1" applyAlignment="1">
      <alignment horizontal="center"/>
    </xf>
    <xf numFmtId="38" fontId="68" fillId="0" borderId="0" xfId="0" applyNumberFormat="1" applyFont="1" applyBorder="1"/>
    <xf numFmtId="9" fontId="68" fillId="0" borderId="0" xfId="0" applyNumberFormat="1" applyFont="1" applyBorder="1" applyAlignment="1">
      <alignment horizontal="center"/>
    </xf>
    <xf numFmtId="38" fontId="68" fillId="0" borderId="9" xfId="3" applyNumberFormat="1" applyFont="1" applyBorder="1" applyAlignment="1">
      <alignment horizontal="center"/>
    </xf>
    <xf numFmtId="0" fontId="67" fillId="0" borderId="13" xfId="0" applyFont="1" applyBorder="1" applyAlignment="1">
      <alignment horizontal="left"/>
    </xf>
    <xf numFmtId="9" fontId="67" fillId="0" borderId="10" xfId="0" applyNumberFormat="1" applyFont="1" applyBorder="1" applyAlignment="1" applyProtection="1">
      <alignment horizontal="center"/>
    </xf>
    <xf numFmtId="38" fontId="67" fillId="0" borderId="10" xfId="3" applyNumberFormat="1" applyFont="1" applyBorder="1" applyAlignment="1" applyProtection="1">
      <alignment horizontal="center"/>
    </xf>
    <xf numFmtId="0" fontId="67" fillId="0" borderId="10" xfId="0" applyFont="1" applyBorder="1"/>
    <xf numFmtId="9" fontId="67" fillId="0" borderId="10" xfId="0" applyNumberFormat="1" applyFont="1" applyBorder="1" applyAlignment="1">
      <alignment horizontal="center"/>
    </xf>
    <xf numFmtId="38" fontId="67" fillId="0" borderId="11" xfId="3" applyNumberFormat="1" applyFont="1" applyBorder="1" applyAlignment="1">
      <alignment horizontal="center"/>
    </xf>
    <xf numFmtId="10" fontId="68" fillId="0" borderId="0" xfId="0" applyNumberFormat="1" applyFont="1" applyBorder="1" applyAlignment="1">
      <alignment horizontal="left"/>
    </xf>
    <xf numFmtId="10" fontId="68" fillId="0" borderId="0" xfId="0" applyNumberFormat="1" applyFont="1" applyBorder="1" applyAlignment="1" applyProtection="1">
      <alignment horizontal="center"/>
    </xf>
    <xf numFmtId="164" fontId="6" fillId="0" borderId="0" xfId="19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69" fillId="4" borderId="0" xfId="0" applyFont="1" applyFill="1" applyBorder="1" applyAlignment="1">
      <alignment horizontal="center"/>
    </xf>
    <xf numFmtId="0" fontId="67" fillId="0" borderId="8" xfId="0" applyFont="1" applyBorder="1"/>
    <xf numFmtId="0" fontId="64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5" fontId="6" fillId="8" borderId="0" xfId="0" applyNumberFormat="1" applyFont="1" applyFill="1" applyBorder="1" applyAlignment="1">
      <alignment horizontal="center"/>
    </xf>
    <xf numFmtId="37" fontId="6" fillId="8" borderId="0" xfId="0" applyNumberFormat="1" applyFont="1" applyFill="1" applyBorder="1" applyAlignment="1">
      <alignment horizontal="center"/>
    </xf>
    <xf numFmtId="37" fontId="64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4" fillId="0" borderId="0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39" fontId="64" fillId="0" borderId="0" xfId="0" applyNumberFormat="1" applyFont="1" applyFill="1" applyBorder="1" applyAlignment="1">
      <alignment horizontal="center"/>
    </xf>
    <xf numFmtId="173" fontId="6" fillId="8" borderId="0" xfId="0" applyNumberFormat="1" applyFont="1" applyFill="1" applyBorder="1" applyAlignment="1">
      <alignment horizontal="center"/>
    </xf>
    <xf numFmtId="173" fontId="64" fillId="0" borderId="0" xfId="19" applyNumberFormat="1" applyFont="1" applyFill="1" applyBorder="1" applyAlignment="1">
      <alignment horizontal="center"/>
    </xf>
    <xf numFmtId="0" fontId="68" fillId="0" borderId="8" xfId="0" applyFont="1" applyBorder="1"/>
    <xf numFmtId="173" fontId="68" fillId="8" borderId="0" xfId="0" applyNumberFormat="1" applyFont="1" applyFill="1" applyBorder="1" applyAlignment="1">
      <alignment horizontal="center"/>
    </xf>
    <xf numFmtId="173" fontId="67" fillId="0" borderId="0" xfId="19" applyNumberFormat="1" applyFont="1" applyFill="1" applyBorder="1" applyAlignment="1">
      <alignment horizontal="center"/>
    </xf>
    <xf numFmtId="10" fontId="6" fillId="8" borderId="0" xfId="0" applyNumberFormat="1" applyFont="1" applyFill="1" applyBorder="1" applyAlignment="1">
      <alignment horizontal="center"/>
    </xf>
    <xf numFmtId="37" fontId="64" fillId="8" borderId="0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164" fontId="64" fillId="8" borderId="10" xfId="19" applyNumberFormat="1" applyFont="1" applyFill="1" applyBorder="1" applyAlignment="1">
      <alignment horizontal="center"/>
    </xf>
    <xf numFmtId="0" fontId="67" fillId="0" borderId="12" xfId="0" applyFont="1" applyFill="1" applyBorder="1"/>
    <xf numFmtId="0" fontId="67" fillId="0" borderId="6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68" fillId="0" borderId="4" xfId="0" applyFont="1" applyFill="1" applyBorder="1" applyAlignment="1">
      <alignment horizontal="centerContinuous"/>
    </xf>
    <xf numFmtId="0" fontId="68" fillId="0" borderId="0" xfId="0" applyFont="1" applyFill="1" applyBorder="1" applyAlignment="1">
      <alignment horizontal="center"/>
    </xf>
    <xf numFmtId="0" fontId="68" fillId="0" borderId="8" xfId="0" applyFont="1" applyFill="1" applyBorder="1"/>
    <xf numFmtId="10" fontId="64" fillId="0" borderId="0" xfId="0" applyNumberFormat="1" applyFont="1" applyFill="1" applyBorder="1"/>
    <xf numFmtId="0" fontId="6" fillId="0" borderId="8" xfId="0" applyFont="1" applyFill="1" applyBorder="1"/>
    <xf numFmtId="38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9" fontId="6" fillId="0" borderId="0" xfId="19" applyFont="1" applyFill="1" applyBorder="1" applyAlignment="1">
      <alignment horizontal="center"/>
    </xf>
    <xf numFmtId="10" fontId="6" fillId="0" borderId="0" xfId="19" applyNumberFormat="1" applyFont="1" applyFill="1" applyBorder="1" applyAlignment="1">
      <alignment horizontal="center"/>
    </xf>
    <xf numFmtId="0" fontId="6" fillId="0" borderId="13" xfId="0" applyFont="1" applyFill="1" applyBorder="1"/>
    <xf numFmtId="38" fontId="6" fillId="0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43" fontId="6" fillId="0" borderId="10" xfId="3" applyFont="1" applyFill="1" applyBorder="1" applyAlignment="1">
      <alignment horizontal="center"/>
    </xf>
    <xf numFmtId="9" fontId="6" fillId="0" borderId="10" xfId="19" applyFont="1" applyFill="1" applyBorder="1" applyAlignment="1">
      <alignment horizontal="center"/>
    </xf>
    <xf numFmtId="0" fontId="68" fillId="0" borderId="0" xfId="0" applyFont="1" applyBorder="1"/>
    <xf numFmtId="212" fontId="6" fillId="0" borderId="0" xfId="3" applyNumberFormat="1" applyFont="1" applyBorder="1" applyAlignment="1">
      <alignment horizontal="center"/>
    </xf>
    <xf numFmtId="164" fontId="64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0" xfId="0" applyFont="1" applyFill="1" applyBorder="1"/>
    <xf numFmtId="0" fontId="6" fillId="0" borderId="9" xfId="0" applyFont="1" applyFill="1" applyBorder="1"/>
    <xf numFmtId="40" fontId="6" fillId="0" borderId="0" xfId="0" applyNumberFormat="1" applyFont="1" applyBorder="1" applyAlignment="1">
      <alignment horizontal="center"/>
    </xf>
    <xf numFmtId="39" fontId="6" fillId="0" borderId="0" xfId="3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166" fontId="6" fillId="0" borderId="0" xfId="3" applyNumberFormat="1" applyFont="1" applyBorder="1" applyAlignment="1">
      <alignment horizontal="center"/>
    </xf>
    <xf numFmtId="0" fontId="6" fillId="0" borderId="4" xfId="0" applyFont="1" applyBorder="1"/>
    <xf numFmtId="0" fontId="67" fillId="0" borderId="7" xfId="0" applyFont="1" applyBorder="1" applyAlignment="1">
      <alignment horizontal="centerContinuous"/>
    </xf>
    <xf numFmtId="0" fontId="69" fillId="0" borderId="0" xfId="0" applyFont="1" applyFill="1" applyBorder="1" applyAlignment="1">
      <alignment horizontal="center"/>
    </xf>
    <xf numFmtId="0" fontId="69" fillId="4" borderId="9" xfId="0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" fontId="6" fillId="0" borderId="0" xfId="3" applyNumberFormat="1" applyFont="1" applyBorder="1" applyAlignment="1">
      <alignment horizontal="center"/>
    </xf>
    <xf numFmtId="38" fontId="6" fillId="8" borderId="10" xfId="0" applyNumberFormat="1" applyFont="1" applyFill="1" applyBorder="1" applyAlignment="1">
      <alignment horizontal="center"/>
    </xf>
    <xf numFmtId="0" fontId="6" fillId="0" borderId="7" xfId="0" applyFont="1" applyFill="1" applyBorder="1"/>
    <xf numFmtId="40" fontId="6" fillId="8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center"/>
    </xf>
    <xf numFmtId="40" fontId="6" fillId="0" borderId="9" xfId="0" applyNumberFormat="1" applyFont="1" applyFill="1" applyBorder="1" applyAlignment="1">
      <alignment horizontal="center"/>
    </xf>
    <xf numFmtId="3" fontId="6" fillId="8" borderId="10" xfId="0" applyNumberFormat="1" applyFont="1" applyFill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0" fontId="68" fillId="0" borderId="6" xfId="0" applyFont="1" applyFill="1" applyBorder="1" applyAlignment="1">
      <alignment horizontal="center"/>
    </xf>
    <xf numFmtId="40" fontId="6" fillId="0" borderId="6" xfId="0" applyNumberFormat="1" applyFont="1" applyFill="1" applyBorder="1" applyAlignment="1">
      <alignment horizontal="center"/>
    </xf>
    <xf numFmtId="40" fontId="6" fillId="0" borderId="7" xfId="0" applyNumberFormat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/>
    </xf>
    <xf numFmtId="39" fontId="6" fillId="8" borderId="0" xfId="3" applyNumberFormat="1" applyFont="1" applyFill="1" applyBorder="1" applyAlignment="1">
      <alignment horizontal="center"/>
    </xf>
    <xf numFmtId="10" fontId="6" fillId="0" borderId="9" xfId="0" applyNumberFormat="1" applyFont="1" applyFill="1" applyBorder="1" applyAlignment="1">
      <alignment horizontal="center"/>
    </xf>
    <xf numFmtId="10" fontId="6" fillId="0" borderId="9" xfId="19" applyNumberFormat="1" applyFont="1" applyFill="1" applyBorder="1" applyAlignment="1">
      <alignment horizontal="center"/>
    </xf>
    <xf numFmtId="3" fontId="6" fillId="8" borderId="0" xfId="3" applyNumberFormat="1" applyFont="1" applyFill="1" applyBorder="1" applyAlignment="1">
      <alignment horizontal="center"/>
    </xf>
    <xf numFmtId="3" fontId="6" fillId="0" borderId="0" xfId="3" applyNumberFormat="1" applyFont="1" applyFill="1" applyBorder="1" applyAlignment="1">
      <alignment horizontal="center"/>
    </xf>
    <xf numFmtId="3" fontId="6" fillId="0" borderId="10" xfId="3" applyNumberFormat="1" applyFont="1" applyFill="1" applyBorder="1" applyAlignment="1">
      <alignment horizontal="center"/>
    </xf>
    <xf numFmtId="0" fontId="68" fillId="0" borderId="7" xfId="0" applyFont="1" applyFill="1" applyBorder="1" applyAlignment="1">
      <alignment horizontal="center"/>
    </xf>
    <xf numFmtId="10" fontId="6" fillId="8" borderId="0" xfId="19" applyNumberFormat="1" applyFont="1" applyFill="1" applyBorder="1" applyAlignment="1">
      <alignment horizontal="center"/>
    </xf>
    <xf numFmtId="10" fontId="6" fillId="8" borderId="10" xfId="19" applyNumberFormat="1" applyFont="1" applyFill="1" applyBorder="1" applyAlignment="1">
      <alignment horizontal="center"/>
    </xf>
    <xf numFmtId="0" fontId="6" fillId="0" borderId="14" xfId="0" applyFont="1" applyBorder="1"/>
    <xf numFmtId="44" fontId="6" fillId="0" borderId="0" xfId="4" applyFont="1" applyFill="1" applyBorder="1"/>
    <xf numFmtId="7" fontId="6" fillId="0" borderId="0" xfId="3" applyNumberFormat="1" applyFont="1" applyBorder="1"/>
    <xf numFmtId="0" fontId="67" fillId="0" borderId="0" xfId="3" applyNumberFormat="1" applyFont="1" applyBorder="1" applyAlignment="1">
      <alignment horizontal="right"/>
    </xf>
    <xf numFmtId="0" fontId="67" fillId="0" borderId="0" xfId="0" applyFont="1" applyBorder="1"/>
    <xf numFmtId="40" fontId="6" fillId="0" borderId="0" xfId="3" applyNumberFormat="1" applyFont="1" applyBorder="1" applyAlignment="1">
      <alignment horizontal="right"/>
    </xf>
    <xf numFmtId="10" fontId="70" fillId="0" borderId="3" xfId="19" applyNumberFormat="1" applyFont="1" applyFill="1" applyBorder="1" applyAlignment="1">
      <alignment horizontal="right"/>
    </xf>
    <xf numFmtId="43" fontId="6" fillId="0" borderId="0" xfId="0" applyNumberFormat="1" applyFont="1" applyBorder="1"/>
    <xf numFmtId="10" fontId="70" fillId="0" borderId="0" xfId="19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1" fillId="0" borderId="0" xfId="0" applyFont="1" applyBorder="1"/>
    <xf numFmtId="2" fontId="72" fillId="0" borderId="0" xfId="3" applyNumberFormat="1" applyFont="1" applyFill="1" applyBorder="1" applyAlignment="1">
      <alignment horizontal="right"/>
    </xf>
    <xf numFmtId="43" fontId="6" fillId="0" borderId="0" xfId="3" applyNumberFormat="1" applyFont="1" applyBorder="1" applyAlignment="1">
      <alignment horizontal="right"/>
    </xf>
    <xf numFmtId="9" fontId="72" fillId="0" borderId="0" xfId="0" applyNumberFormat="1" applyFont="1" applyBorder="1"/>
    <xf numFmtId="40" fontId="6" fillId="0" borderId="0" xfId="3" applyNumberFormat="1" applyFont="1" applyFill="1" applyBorder="1" applyAlignment="1">
      <alignment horizontal="right"/>
    </xf>
    <xf numFmtId="43" fontId="6" fillId="0" borderId="0" xfId="3" applyFont="1" applyFill="1" applyBorder="1" applyAlignment="1">
      <alignment horizontal="right"/>
    </xf>
    <xf numFmtId="0" fontId="64" fillId="0" borderId="15" xfId="0" applyFont="1" applyBorder="1"/>
    <xf numFmtId="40" fontId="6" fillId="10" borderId="14" xfId="3" applyNumberFormat="1" applyFont="1" applyFill="1" applyBorder="1" applyAlignment="1">
      <alignment horizontal="right"/>
    </xf>
    <xf numFmtId="1" fontId="72" fillId="0" borderId="0" xfId="3" applyNumberFormat="1" applyFont="1" applyFill="1" applyBorder="1" applyAlignment="1">
      <alignment horizontal="right"/>
    </xf>
    <xf numFmtId="43" fontId="68" fillId="0" borderId="0" xfId="3" applyNumberFormat="1" applyFont="1" applyBorder="1" applyAlignment="1">
      <alignment horizontal="right"/>
    </xf>
    <xf numFmtId="43" fontId="6" fillId="0" borderId="0" xfId="3" applyFont="1" applyBorder="1" applyAlignment="1">
      <alignment horizontal="right"/>
    </xf>
    <xf numFmtId="40" fontId="68" fillId="0" borderId="0" xfId="3" applyNumberFormat="1" applyFont="1" applyBorder="1" applyAlignment="1">
      <alignment horizontal="right"/>
    </xf>
    <xf numFmtId="43" fontId="68" fillId="0" borderId="0" xfId="3" applyFont="1" applyBorder="1" applyAlignment="1">
      <alignment horizontal="right"/>
    </xf>
    <xf numFmtId="0" fontId="65" fillId="4" borderId="0" xfId="0" applyFont="1" applyFill="1"/>
    <xf numFmtId="0" fontId="6" fillId="4" borderId="0" xfId="0" applyFont="1" applyFill="1"/>
    <xf numFmtId="166" fontId="64" fillId="0" borderId="0" xfId="0" applyNumberFormat="1" applyFont="1" applyFill="1"/>
    <xf numFmtId="166" fontId="6" fillId="0" borderId="0" xfId="0" applyNumberFormat="1" applyFont="1" applyFill="1"/>
    <xf numFmtId="38" fontId="6" fillId="0" borderId="0" xfId="0" applyNumberFormat="1" applyFont="1" applyFill="1"/>
    <xf numFmtId="0" fontId="64" fillId="0" borderId="10" xfId="0" applyNumberFormat="1" applyFont="1" applyFill="1" applyBorder="1" applyAlignment="1">
      <alignment horizontal="left"/>
    </xf>
    <xf numFmtId="0" fontId="64" fillId="0" borderId="10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/>
    </xf>
    <xf numFmtId="166" fontId="64" fillId="11" borderId="0" xfId="0" applyNumberFormat="1" applyFont="1" applyFill="1"/>
    <xf numFmtId="166" fontId="6" fillId="11" borderId="0" xfId="0" applyNumberFormat="1" applyFont="1" applyFill="1"/>
    <xf numFmtId="0" fontId="64" fillId="0" borderId="0" xfId="0" applyFont="1" applyFill="1" applyBorder="1" applyAlignment="1">
      <alignment horizontal="left"/>
    </xf>
    <xf numFmtId="166" fontId="64" fillId="0" borderId="0" xfId="3" applyNumberFormat="1" applyFont="1" applyFill="1"/>
    <xf numFmtId="38" fontId="6" fillId="11" borderId="0" xfId="0" applyNumberFormat="1" applyFont="1" applyFill="1"/>
    <xf numFmtId="166" fontId="64" fillId="0" borderId="0" xfId="3" applyNumberFormat="1" applyFont="1" applyFill="1" applyBorder="1" applyAlignment="1">
      <alignment horizontal="centerContinuous"/>
    </xf>
    <xf numFmtId="0" fontId="64" fillId="0" borderId="0" xfId="0" applyFont="1" applyFill="1"/>
    <xf numFmtId="38" fontId="6" fillId="0" borderId="0" xfId="0" applyNumberFormat="1" applyFont="1" applyFill="1" applyBorder="1"/>
    <xf numFmtId="0" fontId="68" fillId="0" borderId="0" xfId="0" applyFont="1" applyFill="1"/>
    <xf numFmtId="38" fontId="6" fillId="0" borderId="0" xfId="0" applyNumberFormat="1" applyFont="1"/>
    <xf numFmtId="0" fontId="6" fillId="0" borderId="0" xfId="0" applyFont="1" applyFill="1" applyAlignment="1">
      <alignment horizontal="left"/>
    </xf>
    <xf numFmtId="38" fontId="73" fillId="0" borderId="0" xfId="0" applyNumberFormat="1" applyFont="1" applyFill="1" applyBorder="1"/>
    <xf numFmtId="38" fontId="73" fillId="0" borderId="0" xfId="0" applyNumberFormat="1" applyFont="1"/>
    <xf numFmtId="0" fontId="73" fillId="0" borderId="0" xfId="0" applyFont="1"/>
    <xf numFmtId="38" fontId="6" fillId="0" borderId="4" xfId="0" applyNumberFormat="1" applyFont="1" applyBorder="1"/>
    <xf numFmtId="166" fontId="6" fillId="0" borderId="0" xfId="3" applyNumberFormat="1" applyFont="1"/>
    <xf numFmtId="38" fontId="46" fillId="0" borderId="0" xfId="0" applyNumberFormat="1" applyFont="1" applyFill="1" applyAlignment="1">
      <alignment horizontal="left"/>
    </xf>
    <xf numFmtId="38" fontId="74" fillId="0" borderId="0" xfId="0" applyNumberFormat="1" applyFont="1"/>
    <xf numFmtId="0" fontId="46" fillId="0" borderId="0" xfId="0" applyFont="1" applyFill="1" applyAlignment="1">
      <alignment horizontal="left"/>
    </xf>
    <xf numFmtId="38" fontId="11" fillId="0" borderId="0" xfId="0" applyNumberFormat="1" applyFont="1"/>
    <xf numFmtId="38" fontId="64" fillId="0" borderId="0" xfId="0" applyNumberFormat="1" applyFont="1"/>
    <xf numFmtId="0" fontId="66" fillId="0" borderId="0" xfId="0" applyFont="1" applyFill="1"/>
    <xf numFmtId="38" fontId="6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6" fontId="75" fillId="0" borderId="0" xfId="0" applyNumberFormat="1" applyFont="1" applyFill="1" applyBorder="1" applyAlignment="1">
      <alignment horizontal="left"/>
    </xf>
    <xf numFmtId="0" fontId="73" fillId="0" borderId="0" xfId="0" applyFont="1" applyBorder="1"/>
    <xf numFmtId="0" fontId="69" fillId="0" borderId="0" xfId="0" applyFont="1" applyBorder="1"/>
    <xf numFmtId="187" fontId="76" fillId="0" borderId="0" xfId="0" applyNumberFormat="1" applyFont="1" applyBorder="1" applyAlignment="1">
      <alignment horizontal="center"/>
    </xf>
    <xf numFmtId="0" fontId="76" fillId="0" borderId="0" xfId="0" applyFont="1" applyBorder="1"/>
    <xf numFmtId="0" fontId="64" fillId="0" borderId="10" xfId="0" applyNumberFormat="1" applyFont="1" applyFill="1" applyBorder="1" applyAlignment="1">
      <alignment horizontal="center"/>
    </xf>
    <xf numFmtId="14" fontId="77" fillId="0" borderId="0" xfId="0" applyNumberFormat="1" applyFont="1" applyFill="1" applyBorder="1" applyAlignment="1">
      <alignment horizontal="center"/>
    </xf>
    <xf numFmtId="14" fontId="76" fillId="0" borderId="0" xfId="0" applyNumberFormat="1" applyFont="1" applyFill="1" applyAlignment="1">
      <alignment horizontal="center"/>
    </xf>
    <xf numFmtId="0" fontId="70" fillId="0" borderId="0" xfId="0" applyFont="1"/>
    <xf numFmtId="0" fontId="73" fillId="0" borderId="0" xfId="0" applyFont="1" applyFill="1"/>
    <xf numFmtId="0" fontId="67" fillId="0" borderId="0" xfId="0" applyFont="1"/>
    <xf numFmtId="14" fontId="68" fillId="0" borderId="0" xfId="0" applyNumberFormat="1" applyFont="1" applyFill="1" applyAlignment="1">
      <alignment horizontal="center"/>
    </xf>
    <xf numFmtId="0" fontId="78" fillId="0" borderId="0" xfId="0" applyFont="1" applyAlignment="1">
      <alignment horizontal="center"/>
    </xf>
    <xf numFmtId="3" fontId="6" fillId="0" borderId="0" xfId="0" applyNumberFormat="1" applyFont="1"/>
    <xf numFmtId="166" fontId="6" fillId="0" borderId="0" xfId="3" applyNumberFormat="1" applyFont="1" applyFill="1"/>
    <xf numFmtId="0" fontId="79" fillId="0" borderId="0" xfId="0" applyFont="1"/>
    <xf numFmtId="166" fontId="68" fillId="0" borderId="0" xfId="3" applyNumberFormat="1" applyFont="1" applyFill="1"/>
    <xf numFmtId="166" fontId="68" fillId="0" borderId="0" xfId="3" applyNumberFormat="1" applyFont="1" applyFill="1" applyBorder="1"/>
    <xf numFmtId="166" fontId="6" fillId="0" borderId="0" xfId="3" applyNumberFormat="1" applyFont="1" applyFill="1" applyBorder="1"/>
    <xf numFmtId="166" fontId="78" fillId="0" borderId="0" xfId="0" applyNumberFormat="1" applyFont="1"/>
    <xf numFmtId="166" fontId="79" fillId="0" borderId="0" xfId="0" applyNumberFormat="1" applyFont="1"/>
    <xf numFmtId="3" fontId="64" fillId="0" borderId="0" xfId="0" applyNumberFormat="1" applyFont="1" applyFill="1" applyBorder="1"/>
    <xf numFmtId="164" fontId="6" fillId="0" borderId="0" xfId="19" applyNumberFormat="1" applyFont="1" applyFill="1"/>
    <xf numFmtId="0" fontId="79" fillId="0" borderId="0" xfId="0" applyFont="1" applyFill="1"/>
    <xf numFmtId="3" fontId="6" fillId="0" borderId="0" xfId="0" applyNumberFormat="1" applyFont="1" applyFill="1" applyBorder="1"/>
    <xf numFmtId="3" fontId="6" fillId="0" borderId="0" xfId="0" applyNumberFormat="1" applyFont="1" applyFill="1"/>
    <xf numFmtId="0" fontId="76" fillId="0" borderId="0" xfId="0" applyFont="1"/>
    <xf numFmtId="3" fontId="67" fillId="0" borderId="0" xfId="0" applyNumberFormat="1" applyFont="1"/>
    <xf numFmtId="3" fontId="64" fillId="0" borderId="0" xfId="0" applyNumberFormat="1" applyFont="1"/>
    <xf numFmtId="3" fontId="68" fillId="0" borderId="0" xfId="0" applyNumberFormat="1" applyFont="1"/>
    <xf numFmtId="3" fontId="68" fillId="0" borderId="0" xfId="0" applyNumberFormat="1" applyFont="1" applyFill="1" applyBorder="1"/>
    <xf numFmtId="0" fontId="70" fillId="0" borderId="15" xfId="0" applyFont="1" applyBorder="1"/>
    <xf numFmtId="179" fontId="70" fillId="2" borderId="14" xfId="0" applyNumberFormat="1" applyFont="1" applyFill="1" applyBorder="1" applyAlignment="1">
      <alignment horizontal="right"/>
    </xf>
    <xf numFmtId="179" fontId="70" fillId="2" borderId="16" xfId="0" applyNumberFormat="1" applyFont="1" applyFill="1" applyBorder="1" applyAlignment="1">
      <alignment horizontal="right"/>
    </xf>
    <xf numFmtId="0" fontId="70" fillId="0" borderId="0" xfId="0" applyFont="1" applyBorder="1"/>
    <xf numFmtId="179" fontId="70" fillId="0" borderId="0" xfId="0" applyNumberFormat="1" applyFont="1" applyBorder="1" applyAlignment="1">
      <alignment horizontal="right"/>
    </xf>
    <xf numFmtId="166" fontId="70" fillId="0" borderId="0" xfId="3" applyNumberFormat="1" applyFont="1" applyBorder="1" applyAlignment="1">
      <alignment horizontal="right"/>
    </xf>
    <xf numFmtId="166" fontId="70" fillId="0" borderId="0" xfId="3" applyNumberFormat="1" applyFont="1" applyBorder="1" applyAlignment="1">
      <alignment horizontal="center"/>
    </xf>
    <xf numFmtId="0" fontId="64" fillId="0" borderId="17" xfId="0" applyFont="1" applyBorder="1"/>
    <xf numFmtId="0" fontId="64" fillId="0" borderId="18" xfId="0" applyFont="1" applyBorder="1"/>
    <xf numFmtId="0" fontId="64" fillId="0" borderId="19" xfId="0" applyFont="1" applyBorder="1"/>
    <xf numFmtId="0" fontId="64" fillId="0" borderId="20" xfId="0" applyFont="1" applyBorder="1" applyAlignment="1">
      <alignment horizontal="left"/>
    </xf>
    <xf numFmtId="179" fontId="64" fillId="0" borderId="21" xfId="0" applyNumberFormat="1" applyFont="1" applyBorder="1"/>
    <xf numFmtId="0" fontId="64" fillId="0" borderId="22" xfId="0" applyFont="1" applyBorder="1" applyAlignment="1">
      <alignment horizontal="left"/>
    </xf>
    <xf numFmtId="0" fontId="64" fillId="0" borderId="4" xfId="0" applyFont="1" applyBorder="1"/>
    <xf numFmtId="179" fontId="64" fillId="0" borderId="23" xfId="0" applyNumberFormat="1" applyFont="1" applyBorder="1"/>
    <xf numFmtId="166" fontId="6" fillId="0" borderId="0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/>
    <xf numFmtId="173" fontId="6" fillId="0" borderId="19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left"/>
    </xf>
    <xf numFmtId="173" fontId="68" fillId="0" borderId="2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173" fontId="6" fillId="0" borderId="23" xfId="0" applyNumberFormat="1" applyFont="1" applyBorder="1" applyAlignment="1">
      <alignment horizontal="center"/>
    </xf>
    <xf numFmtId="0" fontId="37" fillId="0" borderId="17" xfId="0" applyFont="1" applyBorder="1"/>
    <xf numFmtId="2" fontId="37" fillId="0" borderId="19" xfId="0" applyNumberFormat="1" applyFont="1" applyBorder="1" applyAlignment="1">
      <alignment horizontal="center"/>
    </xf>
    <xf numFmtId="0" fontId="37" fillId="0" borderId="20" xfId="0" applyFont="1" applyBorder="1"/>
    <xf numFmtId="4" fontId="6" fillId="0" borderId="21" xfId="0" applyNumberFormat="1" applyFont="1" applyBorder="1" applyAlignment="1">
      <alignment horizontal="center"/>
    </xf>
    <xf numFmtId="37" fontId="6" fillId="0" borderId="23" xfId="0" applyNumberFormat="1" applyFont="1" applyFill="1" applyBorder="1" applyAlignment="1">
      <alignment horizontal="center"/>
    </xf>
    <xf numFmtId="43" fontId="6" fillId="0" borderId="0" xfId="3" applyFont="1"/>
    <xf numFmtId="168" fontId="68" fillId="0" borderId="0" xfId="3" applyNumberFormat="1" applyFont="1"/>
    <xf numFmtId="43" fontId="6" fillId="0" borderId="0" xfId="3" applyNumberFormat="1" applyFont="1"/>
    <xf numFmtId="0" fontId="65" fillId="0" borderId="0" xfId="0" applyFont="1"/>
    <xf numFmtId="14" fontId="76" fillId="0" borderId="0" xfId="0" applyNumberFormat="1" applyFont="1" applyFill="1" applyBorder="1" applyAlignment="1">
      <alignment horizontal="center"/>
    </xf>
    <xf numFmtId="0" fontId="64" fillId="8" borderId="10" xfId="0" applyFont="1" applyFill="1" applyBorder="1" applyAlignment="1">
      <alignment horizontal="center"/>
    </xf>
    <xf numFmtId="0" fontId="73" fillId="0" borderId="0" xfId="0" applyFont="1" applyFill="1" applyBorder="1" applyAlignment="1">
      <alignment horizontal="center"/>
    </xf>
    <xf numFmtId="0" fontId="64" fillId="0" borderId="0" xfId="0" applyNumberFormat="1" applyFont="1" applyFill="1" applyBorder="1" applyAlignment="1">
      <alignment horizontal="left"/>
    </xf>
    <xf numFmtId="14" fontId="76" fillId="0" borderId="0" xfId="0" applyNumberFormat="1" applyFont="1" applyAlignment="1">
      <alignment horizontal="center"/>
    </xf>
    <xf numFmtId="0" fontId="64" fillId="8" borderId="0" xfId="0" applyFont="1" applyFill="1" applyBorder="1" applyAlignment="1">
      <alignment horizontal="center"/>
    </xf>
    <xf numFmtId="0" fontId="73" fillId="0" borderId="0" xfId="0" applyFont="1" applyFill="1" applyBorder="1"/>
    <xf numFmtId="14" fontId="64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43" fontId="64" fillId="0" borderId="0" xfId="3" applyFont="1" applyFill="1" applyAlignment="1">
      <alignment horizontal="left"/>
    </xf>
    <xf numFmtId="166" fontId="6" fillId="8" borderId="0" xfId="3" applyNumberFormat="1" applyFont="1" applyFill="1"/>
    <xf numFmtId="166" fontId="73" fillId="0" borderId="0" xfId="3" applyNumberFormat="1" applyFont="1" applyFill="1" applyBorder="1"/>
    <xf numFmtId="166" fontId="73" fillId="0" borderId="0" xfId="0" applyNumberFormat="1" applyFont="1"/>
    <xf numFmtId="43" fontId="6" fillId="0" borderId="0" xfId="3" applyFont="1" applyFill="1" applyAlignment="1">
      <alignment horizontal="left"/>
    </xf>
    <xf numFmtId="166" fontId="6" fillId="0" borderId="0" xfId="3" applyNumberFormat="1" applyFont="1" applyBorder="1"/>
    <xf numFmtId="38" fontId="6" fillId="0" borderId="0" xfId="3" applyNumberFormat="1" applyFont="1" applyFill="1"/>
    <xf numFmtId="166" fontId="6" fillId="0" borderId="4" xfId="3" applyNumberFormat="1" applyFont="1" applyFill="1" applyBorder="1"/>
    <xf numFmtId="166" fontId="6" fillId="8" borderId="4" xfId="3" applyNumberFormat="1" applyFont="1" applyFill="1" applyBorder="1"/>
    <xf numFmtId="166" fontId="64" fillId="0" borderId="0" xfId="3" applyNumberFormat="1" applyFont="1"/>
    <xf numFmtId="166" fontId="6" fillId="0" borderId="4" xfId="3" applyNumberFormat="1" applyFont="1" applyBorder="1"/>
    <xf numFmtId="166" fontId="68" fillId="0" borderId="0" xfId="3" applyNumberFormat="1" applyFont="1"/>
    <xf numFmtId="166" fontId="80" fillId="0" borderId="0" xfId="3" applyNumberFormat="1" applyFont="1" applyFill="1" applyBorder="1"/>
    <xf numFmtId="166" fontId="64" fillId="8" borderId="0" xfId="3" applyNumberFormat="1" applyFont="1" applyFill="1"/>
    <xf numFmtId="166" fontId="81" fillId="0" borderId="0" xfId="3" applyNumberFormat="1" applyFont="1"/>
    <xf numFmtId="164" fontId="64" fillId="12" borderId="3" xfId="19" applyNumberFormat="1" applyFont="1" applyFill="1" applyBorder="1" applyAlignment="1">
      <alignment horizontal="center"/>
    </xf>
    <xf numFmtId="166" fontId="6" fillId="0" borderId="0" xfId="0" applyNumberFormat="1" applyFont="1"/>
    <xf numFmtId="0" fontId="82" fillId="0" borderId="0" xfId="0" applyFont="1"/>
    <xf numFmtId="164" fontId="82" fillId="0" borderId="0" xfId="19" applyNumberFormat="1" applyFont="1"/>
    <xf numFmtId="14" fontId="64" fillId="0" borderId="10" xfId="0" applyNumberFormat="1" applyFont="1" applyFill="1" applyBorder="1" applyAlignment="1">
      <alignment horizontal="center"/>
    </xf>
    <xf numFmtId="0" fontId="37" fillId="0" borderId="0" xfId="0" applyFont="1"/>
    <xf numFmtId="166" fontId="37" fillId="0" borderId="0" xfId="3" applyNumberFormat="1" applyFont="1"/>
    <xf numFmtId="0" fontId="64" fillId="4" borderId="0" xfId="0" applyFont="1" applyFill="1" applyAlignment="1" applyProtection="1">
      <alignment horizontal="left"/>
      <protection locked="0"/>
    </xf>
    <xf numFmtId="187" fontId="6" fillId="0" borderId="0" xfId="0" applyNumberFormat="1" applyFont="1"/>
    <xf numFmtId="164" fontId="6" fillId="0" borderId="0" xfId="19" applyNumberFormat="1" applyFont="1"/>
    <xf numFmtId="0" fontId="64" fillId="0" borderId="17" xfId="0" applyFont="1" applyBorder="1" applyAlignment="1"/>
    <xf numFmtId="0" fontId="6" fillId="0" borderId="19" xfId="0" applyFont="1" applyBorder="1"/>
    <xf numFmtId="0" fontId="64" fillId="0" borderId="20" xfId="0" applyFont="1" applyBorder="1" applyAlignment="1"/>
    <xf numFmtId="0" fontId="6" fillId="0" borderId="21" xfId="0" applyFont="1" applyBorder="1"/>
    <xf numFmtId="0" fontId="6" fillId="0" borderId="20" xfId="0" applyFont="1" applyBorder="1"/>
    <xf numFmtId="164" fontId="6" fillId="0" borderId="21" xfId="19" applyNumberFormat="1" applyFont="1" applyBorder="1"/>
    <xf numFmtId="166" fontId="6" fillId="0" borderId="0" xfId="3" applyNumberFormat="1" applyFont="1" applyBorder="1" applyAlignment="1" applyProtection="1">
      <alignment horizontal="left"/>
    </xf>
    <xf numFmtId="166" fontId="6" fillId="0" borderId="4" xfId="3" applyNumberFormat="1" applyFont="1" applyBorder="1" applyAlignment="1" applyProtection="1">
      <alignment horizontal="left"/>
    </xf>
    <xf numFmtId="189" fontId="6" fillId="0" borderId="0" xfId="0" applyNumberFormat="1" applyFont="1"/>
    <xf numFmtId="190" fontId="6" fillId="0" borderId="0" xfId="0" applyNumberFormat="1" applyFont="1"/>
    <xf numFmtId="164" fontId="68" fillId="0" borderId="21" xfId="19" applyNumberFormat="1" applyFont="1" applyBorder="1"/>
    <xf numFmtId="166" fontId="12" fillId="0" borderId="22" xfId="3" applyNumberFormat="1" applyFont="1" applyBorder="1"/>
    <xf numFmtId="164" fontId="6" fillId="0" borderId="23" xfId="19" applyNumberFormat="1" applyFont="1" applyBorder="1"/>
    <xf numFmtId="0" fontId="68" fillId="0" borderId="0" xfId="0" applyFont="1"/>
    <xf numFmtId="9" fontId="6" fillId="0" borderId="0" xfId="19" applyFont="1"/>
    <xf numFmtId="166" fontId="73" fillId="0" borderId="0" xfId="3" applyNumberFormat="1" applyFont="1"/>
    <xf numFmtId="0" fontId="80" fillId="0" borderId="0" xfId="0" applyFont="1"/>
    <xf numFmtId="166" fontId="80" fillId="0" borderId="0" xfId="3" applyNumberFormat="1" applyFont="1"/>
    <xf numFmtId="0" fontId="83" fillId="4" borderId="0" xfId="17" applyFont="1" applyFill="1" applyBorder="1"/>
    <xf numFmtId="0" fontId="12" fillId="0" borderId="0" xfId="0" applyFont="1" applyFill="1"/>
    <xf numFmtId="0" fontId="64" fillId="0" borderId="0" xfId="0" applyFont="1" applyFill="1" applyBorder="1"/>
    <xf numFmtId="37" fontId="12" fillId="0" borderId="0" xfId="18" applyFont="1" applyAlignment="1"/>
    <xf numFmtId="37" fontId="12" fillId="0" borderId="0" xfId="18" applyFont="1" applyAlignment="1">
      <alignment horizontal="right"/>
    </xf>
    <xf numFmtId="37" fontId="12" fillId="0" borderId="0" xfId="18" applyFont="1" applyFill="1" applyAlignment="1"/>
    <xf numFmtId="37" fontId="84" fillId="0" borderId="0" xfId="18" applyFont="1" applyBorder="1" applyAlignment="1"/>
    <xf numFmtId="37" fontId="84" fillId="0" borderId="0" xfId="18" applyFont="1" applyBorder="1" applyAlignment="1">
      <alignment horizontal="right"/>
    </xf>
    <xf numFmtId="37" fontId="12" fillId="0" borderId="0" xfId="18" applyFont="1" applyFill="1" applyAlignment="1">
      <alignment horizontal="right"/>
    </xf>
    <xf numFmtId="0" fontId="37" fillId="0" borderId="0" xfId="0" applyFont="1" applyBorder="1"/>
    <xf numFmtId="0" fontId="67" fillId="0" borderId="0" xfId="0" applyFont="1" applyBorder="1" applyAlignment="1" applyProtection="1">
      <alignment horizontal="left"/>
    </xf>
    <xf numFmtId="0" fontId="12" fillId="0" borderId="0" xfId="0" applyFont="1" applyFill="1" applyBorder="1"/>
    <xf numFmtId="166" fontId="64" fillId="0" borderId="24" xfId="3" applyNumberFormat="1" applyFont="1" applyBorder="1"/>
    <xf numFmtId="166" fontId="85" fillId="0" borderId="0" xfId="3" applyNumberFormat="1" applyFont="1" applyFill="1" applyBorder="1"/>
    <xf numFmtId="166" fontId="64" fillId="0" borderId="0" xfId="3" applyNumberFormat="1" applyFont="1" applyFill="1" applyBorder="1" applyProtection="1"/>
    <xf numFmtId="166" fontId="73" fillId="0" borderId="0" xfId="3" applyNumberFormat="1" applyFont="1" applyFill="1"/>
    <xf numFmtId="166" fontId="64" fillId="0" borderId="0" xfId="3" applyNumberFormat="1" applyFont="1" applyBorder="1"/>
    <xf numFmtId="166" fontId="6" fillId="0" borderId="0" xfId="3" applyNumberFormat="1" applyFont="1" applyBorder="1" applyProtection="1"/>
    <xf numFmtId="166" fontId="12" fillId="0" borderId="0" xfId="3" applyNumberFormat="1" applyFont="1" applyFill="1" applyBorder="1" applyProtection="1"/>
    <xf numFmtId="166" fontId="12" fillId="0" borderId="0" xfId="3" applyNumberFormat="1" applyFont="1" applyFill="1" applyBorder="1"/>
    <xf numFmtId="166" fontId="86" fillId="0" borderId="0" xfId="3" applyNumberFormat="1" applyFont="1" applyBorder="1" applyProtection="1"/>
    <xf numFmtId="166" fontId="87" fillId="0" borderId="0" xfId="3" applyNumberFormat="1" applyFont="1" applyFill="1" applyBorder="1" applyProtection="1"/>
    <xf numFmtId="0" fontId="64" fillId="0" borderId="0" xfId="0" applyFont="1" applyBorder="1" applyAlignment="1" applyProtection="1">
      <alignment horizontal="left"/>
    </xf>
    <xf numFmtId="166" fontId="64" fillId="0" borderId="0" xfId="3" applyNumberFormat="1" applyFont="1" applyBorder="1" applyProtection="1"/>
    <xf numFmtId="166" fontId="85" fillId="0" borderId="0" xfId="3" applyNumberFormat="1" applyFont="1" applyFill="1" applyBorder="1" applyProtection="1"/>
    <xf numFmtId="9" fontId="68" fillId="0" borderId="0" xfId="3" applyNumberFormat="1" applyFont="1" applyBorder="1"/>
    <xf numFmtId="9" fontId="12" fillId="0" borderId="0" xfId="3" applyNumberFormat="1" applyFont="1" applyFill="1" applyBorder="1"/>
    <xf numFmtId="166" fontId="6" fillId="0" borderId="0" xfId="3" applyNumberFormat="1" applyFont="1" applyFill="1" applyBorder="1" applyProtection="1"/>
    <xf numFmtId="38" fontId="6" fillId="0" borderId="0" xfId="4" applyNumberFormat="1" applyFont="1" applyFill="1" applyBorder="1" applyProtection="1"/>
    <xf numFmtId="166" fontId="64" fillId="0" borderId="5" xfId="3" quotePrefix="1" applyNumberFormat="1" applyFont="1" applyBorder="1" applyProtection="1"/>
    <xf numFmtId="166" fontId="85" fillId="0" borderId="0" xfId="3" quotePrefix="1" applyNumberFormat="1" applyFont="1" applyFill="1" applyBorder="1" applyProtection="1"/>
    <xf numFmtId="38" fontId="6" fillId="4" borderId="0" xfId="0" applyNumberFormat="1" applyFont="1" applyFill="1"/>
    <xf numFmtId="0" fontId="84" fillId="0" borderId="0" xfId="0" applyFont="1" applyFill="1" applyBorder="1"/>
    <xf numFmtId="38" fontId="68" fillId="11" borderId="0" xfId="0" applyNumberFormat="1" applyFont="1" applyFill="1"/>
    <xf numFmtId="0" fontId="46" fillId="0" borderId="0" xfId="0" applyFont="1" applyFill="1" applyBorder="1"/>
    <xf numFmtId="0" fontId="46" fillId="0" borderId="0" xfId="0" applyFont="1" applyFill="1"/>
    <xf numFmtId="38" fontId="6" fillId="8" borderId="0" xfId="0" applyNumberFormat="1" applyFont="1" applyFill="1"/>
    <xf numFmtId="38" fontId="46" fillId="0" borderId="0" xfId="3" applyNumberFormat="1" applyFont="1" applyFill="1"/>
    <xf numFmtId="38" fontId="46" fillId="0" borderId="0" xfId="3" applyNumberFormat="1" applyFont="1" applyFill="1" applyBorder="1"/>
    <xf numFmtId="38" fontId="64" fillId="0" borderId="0" xfId="0" applyNumberFormat="1" applyFont="1" applyFill="1"/>
    <xf numFmtId="38" fontId="64" fillId="0" borderId="0" xfId="0" applyNumberFormat="1" applyFont="1" applyFill="1" applyBorder="1"/>
    <xf numFmtId="38" fontId="6" fillId="0" borderId="0" xfId="3" applyNumberFormat="1" applyFont="1" applyFill="1" applyBorder="1"/>
    <xf numFmtId="38" fontId="68" fillId="0" borderId="0" xfId="0" applyNumberFormat="1" applyFont="1" applyFill="1"/>
    <xf numFmtId="38" fontId="66" fillId="0" borderId="0" xfId="0" applyNumberFormat="1" applyFont="1" applyFill="1"/>
    <xf numFmtId="0" fontId="66" fillId="0" borderId="0" xfId="0" applyFont="1" applyFill="1" applyBorder="1"/>
    <xf numFmtId="166" fontId="46" fillId="0" borderId="0" xfId="3" applyNumberFormat="1" applyFont="1" applyFill="1"/>
    <xf numFmtId="166" fontId="46" fillId="0" borderId="0" xfId="3" applyNumberFormat="1" applyFont="1" applyFill="1" applyBorder="1"/>
    <xf numFmtId="0" fontId="65" fillId="0" borderId="0" xfId="0" applyFont="1" applyFill="1"/>
    <xf numFmtId="38" fontId="6" fillId="8" borderId="0" xfId="3" applyNumberFormat="1" applyFont="1" applyFill="1"/>
    <xf numFmtId="38" fontId="68" fillId="0" borderId="4" xfId="3" applyNumberFormat="1" applyFont="1" applyFill="1" applyBorder="1"/>
    <xf numFmtId="38" fontId="64" fillId="0" borderId="0" xfId="3" applyNumberFormat="1" applyFont="1" applyFill="1" applyBorder="1"/>
    <xf numFmtId="38" fontId="6" fillId="0" borderId="4" xfId="3" applyNumberFormat="1" applyFont="1" applyFill="1" applyBorder="1"/>
    <xf numFmtId="38" fontId="68" fillId="0" borderId="0" xfId="3" applyNumberFormat="1" applyFont="1" applyFill="1"/>
    <xf numFmtId="38" fontId="66" fillId="0" borderId="0" xfId="3" applyNumberFormat="1" applyFont="1" applyFill="1"/>
    <xf numFmtId="168" fontId="6" fillId="0" borderId="0" xfId="3" applyNumberFormat="1" applyFont="1" applyFill="1"/>
    <xf numFmtId="166" fontId="37" fillId="0" borderId="0" xfId="3" applyNumberFormat="1" applyFont="1" applyBorder="1"/>
    <xf numFmtId="166" fontId="73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38" fontId="37" fillId="0" borderId="0" xfId="0" applyNumberFormat="1" applyFont="1" applyBorder="1"/>
    <xf numFmtId="166" fontId="88" fillId="0" borderId="0" xfId="3" applyNumberFormat="1" applyFont="1" applyBorder="1"/>
    <xf numFmtId="166" fontId="37" fillId="0" borderId="0" xfId="0" applyNumberFormat="1" applyFont="1" applyBorder="1"/>
    <xf numFmtId="10" fontId="88" fillId="0" borderId="0" xfId="0" applyNumberFormat="1" applyFont="1" applyBorder="1"/>
    <xf numFmtId="166" fontId="70" fillId="8" borderId="0" xfId="3" applyNumberFormat="1" applyFont="1" applyFill="1" applyBorder="1"/>
    <xf numFmtId="166" fontId="86" fillId="0" borderId="0" xfId="3" applyNumberFormat="1" applyFont="1" applyBorder="1"/>
    <xf numFmtId="166" fontId="80" fillId="0" borderId="0" xfId="0" applyNumberFormat="1" applyFont="1" applyFill="1" applyBorder="1"/>
    <xf numFmtId="10" fontId="68" fillId="0" borderId="0" xfId="3" applyNumberFormat="1" applyFont="1" applyFill="1" applyBorder="1"/>
    <xf numFmtId="166" fontId="11" fillId="0" borderId="0" xfId="3" applyNumberFormat="1" applyFont="1" applyBorder="1" applyProtection="1"/>
    <xf numFmtId="166" fontId="68" fillId="0" borderId="0" xfId="3" applyNumberFormat="1" applyFont="1" applyBorder="1" applyProtection="1"/>
    <xf numFmtId="10" fontId="6" fillId="0" borderId="0" xfId="19" applyNumberFormat="1" applyFont="1" applyFill="1"/>
    <xf numFmtId="43" fontId="66" fillId="0" borderId="0" xfId="3" applyFont="1" applyFill="1"/>
    <xf numFmtId="43" fontId="6" fillId="0" borderId="0" xfId="3" applyFont="1" applyFill="1" applyBorder="1"/>
    <xf numFmtId="37" fontId="64" fillId="0" borderId="0" xfId="0" applyNumberFormat="1" applyFont="1" applyFill="1" applyBorder="1"/>
    <xf numFmtId="37" fontId="6" fillId="0" borderId="0" xfId="0" applyNumberFormat="1" applyFont="1" applyFill="1" applyBorder="1"/>
    <xf numFmtId="43" fontId="64" fillId="0" borderId="0" xfId="3" applyFont="1" applyFill="1" applyBorder="1" applyAlignment="1">
      <alignment horizontal="left"/>
    </xf>
    <xf numFmtId="0" fontId="89" fillId="0" borderId="0" xfId="0" applyFont="1" applyFill="1" applyBorder="1"/>
    <xf numFmtId="43" fontId="64" fillId="0" borderId="0" xfId="3" applyFont="1" applyFill="1" applyBorder="1"/>
    <xf numFmtId="166" fontId="6" fillId="0" borderId="0" xfId="0" applyNumberFormat="1" applyFont="1" applyBorder="1"/>
    <xf numFmtId="0" fontId="65" fillId="4" borderId="0" xfId="17" applyFont="1" applyFill="1" applyBorder="1"/>
    <xf numFmtId="0" fontId="66" fillId="0" borderId="0" xfId="17" applyFont="1" applyFill="1" applyBorder="1"/>
    <xf numFmtId="0" fontId="64" fillId="0" borderId="4" xfId="0" applyFont="1" applyBorder="1" applyAlignment="1">
      <alignment horizontal="center"/>
    </xf>
    <xf numFmtId="10" fontId="68" fillId="0" borderId="0" xfId="19" applyNumberFormat="1" applyFont="1" applyFill="1"/>
    <xf numFmtId="10" fontId="64" fillId="0" borderId="0" xfId="19" applyNumberFormat="1" applyFont="1" applyFill="1"/>
    <xf numFmtId="0" fontId="64" fillId="0" borderId="5" xfId="0" applyFont="1" applyBorder="1"/>
    <xf numFmtId="0" fontId="6" fillId="0" borderId="5" xfId="0" applyFont="1" applyBorder="1"/>
    <xf numFmtId="10" fontId="64" fillId="0" borderId="5" xfId="19" applyNumberFormat="1" applyFont="1" applyFill="1" applyBorder="1"/>
    <xf numFmtId="166" fontId="67" fillId="11" borderId="0" xfId="0" applyNumberFormat="1" applyFont="1" applyFill="1"/>
    <xf numFmtId="0" fontId="6" fillId="0" borderId="4" xfId="0" applyFont="1" applyFill="1" applyBorder="1" applyAlignment="1">
      <alignment horizontal="left"/>
    </xf>
    <xf numFmtId="38" fontId="86" fillId="0" borderId="0" xfId="3" applyNumberFormat="1" applyFont="1" applyFill="1"/>
    <xf numFmtId="0" fontId="76" fillId="0" borderId="0" xfId="0" applyFont="1" applyFill="1" applyBorder="1" applyAlignment="1">
      <alignment horizontal="center"/>
    </xf>
    <xf numFmtId="17" fontId="64" fillId="0" borderId="0" xfId="0" applyNumberFormat="1" applyFont="1" applyFill="1" applyBorder="1" applyAlignment="1">
      <alignment horizontal="center"/>
    </xf>
    <xf numFmtId="0" fontId="90" fillId="0" borderId="0" xfId="0" applyFont="1" applyBorder="1" applyAlignment="1" applyProtection="1">
      <alignment horizontal="left"/>
    </xf>
    <xf numFmtId="165" fontId="12" fillId="0" borderId="0" xfId="4" applyNumberFormat="1" applyFont="1" applyBorder="1" applyProtection="1"/>
    <xf numFmtId="165" fontId="6" fillId="0" borderId="0" xfId="4" applyNumberFormat="1" applyFont="1" applyBorder="1" applyProtection="1"/>
    <xf numFmtId="10" fontId="68" fillId="0" borderId="0" xfId="0" applyNumberFormat="1" applyFont="1" applyBorder="1"/>
    <xf numFmtId="165" fontId="64" fillId="0" borderId="0" xfId="4" applyNumberFormat="1" applyFont="1" applyBorder="1" applyProtection="1"/>
    <xf numFmtId="0" fontId="85" fillId="0" borderId="0" xfId="0" applyFont="1" applyBorder="1"/>
    <xf numFmtId="165" fontId="85" fillId="0" borderId="0" xfId="4" applyNumberFormat="1" applyFont="1" applyBorder="1" applyProtection="1"/>
    <xf numFmtId="166" fontId="6" fillId="11" borderId="0" xfId="3" applyNumberFormat="1" applyFont="1" applyFill="1"/>
    <xf numFmtId="40" fontId="46" fillId="0" borderId="0" xfId="3" applyNumberFormat="1" applyFont="1" applyFill="1"/>
    <xf numFmtId="166" fontId="64" fillId="0" borderId="0" xfId="3" applyNumberFormat="1" applyFont="1" applyFill="1" applyBorder="1"/>
    <xf numFmtId="166" fontId="86" fillId="0" borderId="0" xfId="3" applyNumberFormat="1" applyFont="1" applyFill="1"/>
    <xf numFmtId="0" fontId="12" fillId="0" borderId="0" xfId="0" applyFont="1" applyBorder="1" applyAlignment="1" applyProtection="1">
      <alignment horizontal="left"/>
    </xf>
    <xf numFmtId="41" fontId="6" fillId="0" borderId="0" xfId="0" applyNumberFormat="1" applyFont="1" applyBorder="1"/>
    <xf numFmtId="166" fontId="64" fillId="8" borderId="0" xfId="0" applyNumberFormat="1" applyFont="1" applyFill="1" applyBorder="1"/>
    <xf numFmtId="0" fontId="85" fillId="0" borderId="0" xfId="0" applyFont="1" applyBorder="1" applyAlignment="1" applyProtection="1">
      <alignment horizontal="left"/>
    </xf>
    <xf numFmtId="0" fontId="91" fillId="0" borderId="0" xfId="0" applyFont="1" applyBorder="1" applyAlignment="1" applyProtection="1">
      <alignment horizontal="left"/>
    </xf>
    <xf numFmtId="166" fontId="64" fillId="0" borderId="5" xfId="3" applyNumberFormat="1" applyFont="1" applyFill="1" applyBorder="1"/>
    <xf numFmtId="10" fontId="6" fillId="0" borderId="0" xfId="19" applyNumberFormat="1" applyFont="1"/>
    <xf numFmtId="166" fontId="70" fillId="0" borderId="25" xfId="3" applyNumberFormat="1" applyFont="1" applyBorder="1" applyAlignment="1">
      <alignment horizontal="centerContinuous"/>
    </xf>
    <xf numFmtId="166" fontId="70" fillId="0" borderId="26" xfId="3" applyNumberFormat="1" applyFont="1" applyBorder="1" applyAlignment="1">
      <alignment horizontal="centerContinuous"/>
    </xf>
    <xf numFmtId="166" fontId="70" fillId="0" borderId="27" xfId="3" applyNumberFormat="1" applyFont="1" applyBorder="1" applyAlignment="1">
      <alignment horizontal="centerContinuous"/>
    </xf>
    <xf numFmtId="43" fontId="37" fillId="0" borderId="0" xfId="3" applyFont="1" applyBorder="1"/>
    <xf numFmtId="0" fontId="67" fillId="0" borderId="6" xfId="0" applyFont="1" applyBorder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4" fillId="0" borderId="27" xfId="0" applyFont="1" applyBorder="1" applyAlignment="1">
      <alignment horizontal="center"/>
    </xf>
    <xf numFmtId="0" fontId="73" fillId="0" borderId="0" xfId="0" applyFont="1" applyFill="1" applyBorder="1" applyAlignment="1">
      <alignment horizontal="center"/>
    </xf>
  </cellXfs>
  <cellStyles count="31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Percent" xfId="19" builtinId="5"/>
    <cellStyle name="Percent [2]" xfId="20"/>
    <cellStyle name="Standard_Anpassen der Amortisation" xfId="21"/>
    <cellStyle name="Total" xfId="22" builtinId="25" customBuiltin="1"/>
    <cellStyle name="uk" xfId="23"/>
    <cellStyle name="Un" xfId="24"/>
    <cellStyle name="Unprot" xfId="25"/>
    <cellStyle name="Unprot$" xfId="26"/>
    <cellStyle name="Unprot_CurrencySKorea" xfId="27"/>
    <cellStyle name="Unprotect" xfId="28"/>
    <cellStyle name="Währung [0]_Compiling Utility Macros" xfId="29"/>
    <cellStyle name="Währung_Compiling Utility Macros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26</xdr:row>
          <xdr:rowOff>19050</xdr:rowOff>
        </xdr:from>
        <xdr:to>
          <xdr:col>3</xdr:col>
          <xdr:colOff>533400</xdr:colOff>
          <xdr:row>29</xdr:row>
          <xdr:rowOff>0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F19BC628-6E4C-D749-F527-F5107368A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tabSelected="1" topLeftCell="A3" zoomScaleNormal="75" workbookViewId="0">
      <selection activeCell="D19" sqref="D19"/>
    </sheetView>
  </sheetViews>
  <sheetFormatPr defaultRowHeight="12.75"/>
  <cols>
    <col min="1" max="1" width="48.85546875" style="5" bestFit="1" customWidth="1"/>
    <col min="2" max="3" width="10.28515625" style="5" bestFit="1" customWidth="1"/>
    <col min="4" max="4" width="12.42578125" style="5" bestFit="1" customWidth="1"/>
    <col min="5" max="5" width="20.5703125" style="5" bestFit="1" customWidth="1"/>
    <col min="6" max="6" width="11.5703125" style="5" bestFit="1" customWidth="1"/>
    <col min="7" max="7" width="9.7109375" style="5" bestFit="1" customWidth="1"/>
    <col min="8" max="16384" width="9.140625" style="5"/>
  </cols>
  <sheetData>
    <row r="1" spans="1:7">
      <c r="A1" s="26"/>
    </row>
    <row r="2" spans="1:7">
      <c r="A2" s="27" t="s">
        <v>150</v>
      </c>
      <c r="B2" s="6"/>
      <c r="C2" s="6"/>
      <c r="D2" s="6"/>
    </row>
    <row r="4" spans="1:7" ht="13.5" thickBot="1"/>
    <row r="5" spans="1:7">
      <c r="A5" s="28" t="s">
        <v>1</v>
      </c>
      <c r="B5" s="29"/>
      <c r="C5" s="29"/>
      <c r="D5" s="29"/>
      <c r="E5" s="7"/>
      <c r="F5" s="7"/>
      <c r="G5" s="8"/>
    </row>
    <row r="6" spans="1:7">
      <c r="A6" s="30" t="s">
        <v>4</v>
      </c>
      <c r="B6" s="31" t="s">
        <v>5</v>
      </c>
      <c r="C6" s="32" t="s">
        <v>6</v>
      </c>
      <c r="D6" s="9"/>
      <c r="E6" s="33" t="s">
        <v>202</v>
      </c>
      <c r="F6" s="31" t="s">
        <v>5</v>
      </c>
      <c r="G6" s="34" t="s">
        <v>6</v>
      </c>
    </row>
    <row r="7" spans="1:7">
      <c r="A7" s="35" t="s">
        <v>7</v>
      </c>
      <c r="B7" s="36">
        <f>C7/$C$9</f>
        <v>0.55798663267875592</v>
      </c>
      <c r="C7" s="37">
        <f>B28</f>
        <v>440765.8119035805</v>
      </c>
      <c r="D7" s="22"/>
      <c r="E7" s="33" t="s">
        <v>203</v>
      </c>
      <c r="F7" s="42">
        <f>G7/G9</f>
        <v>1</v>
      </c>
      <c r="G7" s="43">
        <f>C9</f>
        <v>789921.81190358056</v>
      </c>
    </row>
    <row r="8" spans="1:7">
      <c r="A8" s="30" t="s">
        <v>10</v>
      </c>
      <c r="B8" s="39">
        <f>C8/$C$9</f>
        <v>0.44201336732124402</v>
      </c>
      <c r="C8" s="40">
        <f>E15</f>
        <v>349156</v>
      </c>
      <c r="D8" s="41"/>
      <c r="E8" s="38"/>
      <c r="G8" s="11"/>
    </row>
    <row r="9" spans="1:7" ht="13.5" thickBot="1">
      <c r="A9" s="44" t="s">
        <v>11</v>
      </c>
      <c r="B9" s="45">
        <f>SUM(B7:B8)</f>
        <v>1</v>
      </c>
      <c r="C9" s="46">
        <f>SUM(C7:C8)</f>
        <v>789921.81190358056</v>
      </c>
      <c r="D9" s="23"/>
      <c r="E9" s="47" t="s">
        <v>151</v>
      </c>
      <c r="F9" s="48">
        <f>SUM(F7:F7)</f>
        <v>1</v>
      </c>
      <c r="G9" s="49">
        <f>SUM(G7:G7)</f>
        <v>789921.81190358056</v>
      </c>
    </row>
    <row r="10" spans="1:7" ht="13.5" thickBot="1">
      <c r="A10" s="50"/>
      <c r="B10" s="51"/>
      <c r="C10" s="40"/>
      <c r="D10" s="9"/>
      <c r="E10" s="9"/>
      <c r="F10" s="52"/>
      <c r="G10" s="53"/>
    </row>
    <row r="11" spans="1:7">
      <c r="A11" s="28" t="s">
        <v>141</v>
      </c>
      <c r="B11" s="7"/>
      <c r="C11" s="7"/>
      <c r="D11" s="13"/>
      <c r="E11" s="7"/>
      <c r="F11" s="7"/>
      <c r="G11" s="8"/>
    </row>
    <row r="12" spans="1:7">
      <c r="A12" s="10"/>
      <c r="B12" s="54" t="s">
        <v>13</v>
      </c>
      <c r="C12" s="54" t="s">
        <v>14</v>
      </c>
      <c r="D12" s="54" t="s">
        <v>15</v>
      </c>
      <c r="E12" s="54" t="s">
        <v>16</v>
      </c>
      <c r="F12" s="14"/>
      <c r="G12" s="15"/>
    </row>
    <row r="13" spans="1:7">
      <c r="A13" s="55" t="s">
        <v>142</v>
      </c>
      <c r="B13" s="56"/>
      <c r="C13" s="56"/>
      <c r="D13" s="56"/>
      <c r="E13" s="9"/>
      <c r="F13" s="9"/>
      <c r="G13" s="11"/>
    </row>
    <row r="14" spans="1:7">
      <c r="A14" s="57" t="s">
        <v>129</v>
      </c>
      <c r="C14" s="58">
        <v>36892</v>
      </c>
      <c r="D14" s="9"/>
      <c r="E14" s="9"/>
      <c r="F14" s="9"/>
      <c r="G14" s="11"/>
    </row>
    <row r="15" spans="1:7">
      <c r="A15" s="57" t="s">
        <v>17</v>
      </c>
      <c r="B15" s="59">
        <v>0</v>
      </c>
      <c r="C15" s="59">
        <v>112931</v>
      </c>
      <c r="D15" s="59">
        <v>236225</v>
      </c>
      <c r="E15" s="60">
        <f>SUM(B15:D15)</f>
        <v>349156</v>
      </c>
      <c r="F15" s="16"/>
      <c r="G15" s="17"/>
    </row>
    <row r="16" spans="1:7">
      <c r="A16" s="57" t="s">
        <v>18</v>
      </c>
      <c r="B16" s="61" t="e">
        <f>Debt!E98</f>
        <v>#N/A</v>
      </c>
      <c r="C16" s="61">
        <f>Debt!J98</f>
        <v>9.9958932238193015</v>
      </c>
      <c r="D16" s="61">
        <f>Debt!O98</f>
        <v>19.997262149212869</v>
      </c>
      <c r="E16" s="62"/>
      <c r="F16" s="16"/>
      <c r="G16" s="17"/>
    </row>
    <row r="17" spans="1:7">
      <c r="A17" s="57" t="s">
        <v>19</v>
      </c>
      <c r="B17" s="58" t="e">
        <v>#N/A</v>
      </c>
      <c r="C17" s="58">
        <v>40543</v>
      </c>
      <c r="D17" s="58">
        <v>44196</v>
      </c>
      <c r="E17" s="60"/>
      <c r="F17" s="9"/>
      <c r="G17" s="11"/>
    </row>
    <row r="18" spans="1:7">
      <c r="A18" s="57" t="s">
        <v>20</v>
      </c>
      <c r="B18" s="63" t="str">
        <f>Debt!E99</f>
        <v/>
      </c>
      <c r="C18" s="63">
        <f>Debt!J99</f>
        <v>5.8765645448323056</v>
      </c>
      <c r="D18" s="63">
        <f>Debt!O99</f>
        <v>15.957775222450378</v>
      </c>
      <c r="E18" s="64"/>
      <c r="F18" s="9"/>
      <c r="G18" s="11"/>
    </row>
    <row r="19" spans="1:7">
      <c r="A19" s="57"/>
      <c r="B19" s="9"/>
      <c r="C19" s="9"/>
      <c r="D19" s="9"/>
      <c r="E19" s="60"/>
      <c r="F19" s="9"/>
      <c r="G19" s="11"/>
    </row>
    <row r="20" spans="1:7">
      <c r="A20" s="10" t="s">
        <v>200</v>
      </c>
      <c r="B20" s="65">
        <v>6.8000000000000005E-2</v>
      </c>
      <c r="C20" s="65">
        <v>6.5000000000000002E-2</v>
      </c>
      <c r="D20" s="65">
        <v>6.2E-2</v>
      </c>
      <c r="E20" s="66">
        <f>SUMPRODUCT(B20:D20,$B$15:$D$15)/E15</f>
        <v>6.2970319857026655E-2</v>
      </c>
      <c r="F20" s="9"/>
      <c r="G20" s="11"/>
    </row>
    <row r="21" spans="1:7">
      <c r="A21" s="67" t="s">
        <v>21</v>
      </c>
      <c r="B21" s="68">
        <v>2.2499999999999999E-2</v>
      </c>
      <c r="C21" s="68">
        <v>4.4999999999999998E-2</v>
      </c>
      <c r="D21" s="68">
        <v>0.05</v>
      </c>
      <c r="E21" s="69">
        <f>SUMPRODUCT(B21:D21,$B$15:$D$15)/E15</f>
        <v>4.8382800238288906E-2</v>
      </c>
      <c r="F21" s="9"/>
      <c r="G21" s="11"/>
    </row>
    <row r="22" spans="1:7">
      <c r="A22" s="57" t="s">
        <v>205</v>
      </c>
      <c r="B22" s="18">
        <f>SUM(B20:B21)</f>
        <v>9.0499999999999997E-2</v>
      </c>
      <c r="C22" s="18">
        <f>SUM(C20:C21)</f>
        <v>0.11</v>
      </c>
      <c r="D22" s="18">
        <f>SUM(D20:D21)</f>
        <v>0.112</v>
      </c>
      <c r="E22" s="66">
        <f>SUMPRODUCT(B22:D22,$B$15:$D$15)/E15</f>
        <v>0.11135312009531556</v>
      </c>
      <c r="F22" s="9"/>
      <c r="G22" s="11"/>
    </row>
    <row r="23" spans="1:7">
      <c r="A23" s="10"/>
      <c r="B23" s="9"/>
      <c r="C23" s="9"/>
      <c r="D23" s="9"/>
      <c r="E23" s="18"/>
      <c r="F23" s="9"/>
      <c r="G23" s="11"/>
    </row>
    <row r="24" spans="1:7">
      <c r="A24" s="10" t="s">
        <v>23</v>
      </c>
      <c r="B24" s="70">
        <v>0.05</v>
      </c>
      <c r="C24" s="9"/>
      <c r="D24" s="9"/>
      <c r="E24" s="19"/>
      <c r="F24" s="20"/>
      <c r="G24" s="21"/>
    </row>
    <row r="25" spans="1:7">
      <c r="A25" s="10"/>
      <c r="B25" s="9"/>
      <c r="C25" s="9"/>
      <c r="D25" s="9"/>
      <c r="E25" s="9"/>
      <c r="F25" s="22"/>
      <c r="G25" s="11"/>
    </row>
    <row r="26" spans="1:7">
      <c r="A26" s="55" t="s">
        <v>143</v>
      </c>
      <c r="B26" s="9"/>
      <c r="C26" s="9"/>
      <c r="D26" s="9"/>
      <c r="E26" s="9"/>
      <c r="F26" s="9"/>
      <c r="G26" s="11"/>
    </row>
    <row r="27" spans="1:7">
      <c r="A27" s="57" t="s">
        <v>144</v>
      </c>
      <c r="B27" s="58">
        <v>36892</v>
      </c>
      <c r="C27" s="9"/>
      <c r="D27" s="9"/>
      <c r="E27" s="9"/>
      <c r="F27" s="9"/>
      <c r="G27" s="11"/>
    </row>
    <row r="28" spans="1:7">
      <c r="A28" s="57" t="s">
        <v>17</v>
      </c>
      <c r="B28" s="71">
        <v>440765.8119035805</v>
      </c>
      <c r="C28" s="9"/>
      <c r="D28" s="9"/>
      <c r="E28" s="9"/>
      <c r="F28" s="9"/>
      <c r="G28" s="11"/>
    </row>
    <row r="29" spans="1:7" ht="13.5" thickBot="1">
      <c r="A29" s="72" t="s">
        <v>196</v>
      </c>
      <c r="B29" s="73">
        <v>0.14000000000000001</v>
      </c>
      <c r="C29" s="23"/>
      <c r="D29" s="23"/>
      <c r="E29" s="23"/>
      <c r="F29" s="23"/>
      <c r="G29" s="24"/>
    </row>
    <row r="30" spans="1:7" ht="13.5" thickBot="1">
      <c r="A30" s="9"/>
      <c r="B30" s="9"/>
      <c r="C30" s="9"/>
      <c r="D30" s="9"/>
      <c r="E30" s="9"/>
      <c r="F30" s="9"/>
      <c r="G30" s="9"/>
    </row>
    <row r="31" spans="1:7">
      <c r="A31" s="74" t="s">
        <v>24</v>
      </c>
      <c r="B31" s="29"/>
      <c r="C31" s="75"/>
      <c r="D31" s="75"/>
      <c r="E31" s="7"/>
      <c r="F31" s="7"/>
      <c r="G31" s="8"/>
    </row>
    <row r="32" spans="1:7">
      <c r="A32" s="10"/>
      <c r="B32" s="76" t="s">
        <v>25</v>
      </c>
      <c r="C32" s="77"/>
      <c r="D32" s="9"/>
      <c r="E32" s="9"/>
      <c r="F32" s="9"/>
      <c r="G32" s="11"/>
    </row>
    <row r="33" spans="1:7">
      <c r="A33" s="10"/>
      <c r="B33" s="78">
        <v>2000</v>
      </c>
      <c r="C33" s="78" t="s">
        <v>26</v>
      </c>
      <c r="D33" s="78" t="s">
        <v>27</v>
      </c>
      <c r="E33" s="31" t="s">
        <v>28</v>
      </c>
      <c r="G33" s="11"/>
    </row>
    <row r="34" spans="1:7">
      <c r="A34" s="79" t="s">
        <v>29</v>
      </c>
      <c r="B34" s="9"/>
      <c r="C34" s="80"/>
      <c r="D34" s="80"/>
      <c r="E34" s="9"/>
      <c r="G34" s="11"/>
    </row>
    <row r="35" spans="1:7">
      <c r="A35" s="81" t="s">
        <v>174</v>
      </c>
      <c r="B35" s="53">
        <f>G7</f>
        <v>789921.81190358056</v>
      </c>
      <c r="C35" s="82">
        <v>15</v>
      </c>
      <c r="D35" s="83" t="s">
        <v>30</v>
      </c>
      <c r="E35" s="84">
        <v>0</v>
      </c>
      <c r="G35" s="11"/>
    </row>
    <row r="36" spans="1:7">
      <c r="A36" s="81"/>
      <c r="B36" s="53"/>
      <c r="C36" s="82"/>
      <c r="D36" s="83"/>
      <c r="E36" s="84"/>
      <c r="G36" s="11"/>
    </row>
    <row r="37" spans="1:7">
      <c r="A37" s="79" t="s">
        <v>33</v>
      </c>
      <c r="B37" s="25"/>
      <c r="C37" s="85"/>
      <c r="D37" s="85"/>
      <c r="E37" s="84"/>
      <c r="G37" s="11"/>
    </row>
    <row r="38" spans="1:7" ht="13.5" thickBot="1">
      <c r="A38" s="86" t="s">
        <v>174</v>
      </c>
      <c r="B38" s="88">
        <f>G7</f>
        <v>789921.81190358056</v>
      </c>
      <c r="C38" s="87">
        <v>30</v>
      </c>
      <c r="D38" s="89" t="s">
        <v>31</v>
      </c>
      <c r="E38" s="90">
        <v>0.1</v>
      </c>
      <c r="F38" s="89"/>
      <c r="G38" s="24"/>
    </row>
    <row r="39" spans="1:7" ht="13.5" thickBot="1"/>
    <row r="40" spans="1:7">
      <c r="A40" s="28" t="s">
        <v>37</v>
      </c>
      <c r="B40" s="7"/>
      <c r="C40" s="7"/>
      <c r="D40" s="7"/>
      <c r="E40" s="7"/>
      <c r="F40" s="7"/>
      <c r="G40" s="8"/>
    </row>
    <row r="41" spans="1:7">
      <c r="A41" s="10"/>
      <c r="B41" s="9"/>
      <c r="C41" s="9"/>
      <c r="D41" s="9"/>
      <c r="E41" s="9"/>
      <c r="F41" s="9"/>
      <c r="G41" s="11"/>
    </row>
    <row r="42" spans="1:7">
      <c r="A42" s="67" t="s">
        <v>0</v>
      </c>
      <c r="B42" s="91"/>
      <c r="C42" s="9"/>
      <c r="D42" s="31" t="s">
        <v>39</v>
      </c>
      <c r="E42" s="31" t="s">
        <v>40</v>
      </c>
      <c r="F42" s="9"/>
      <c r="G42" s="11"/>
    </row>
    <row r="43" spans="1:7">
      <c r="A43" s="10" t="s">
        <v>212</v>
      </c>
      <c r="B43" s="9"/>
      <c r="C43" s="9"/>
      <c r="D43" s="92">
        <f>Debt!D84</f>
        <v>2.2564542275081805</v>
      </c>
      <c r="E43" s="92">
        <f>Debt!D85</f>
        <v>3.2482031556697555</v>
      </c>
      <c r="F43" s="9"/>
      <c r="G43" s="11"/>
    </row>
    <row r="44" spans="1:7">
      <c r="A44" s="10"/>
      <c r="B44" s="9"/>
      <c r="C44" s="9"/>
      <c r="D44" s="9"/>
      <c r="E44" s="9"/>
      <c r="F44" s="9"/>
      <c r="G44" s="11"/>
    </row>
    <row r="45" spans="1:7">
      <c r="A45" s="10"/>
      <c r="B45" s="9"/>
      <c r="C45" s="9"/>
      <c r="D45" s="31"/>
      <c r="E45" s="31"/>
      <c r="F45" s="31"/>
      <c r="G45" s="11"/>
    </row>
    <row r="46" spans="1:7">
      <c r="A46" s="10" t="s">
        <v>207</v>
      </c>
      <c r="B46" s="9"/>
      <c r="C46" s="9"/>
      <c r="D46" s="53">
        <f>SUMPRODUCT(Assumptions!C9:E9,Assumptions!C10:E10)/SUM(Assumptions!C9:E9)</f>
        <v>11458.743073047859</v>
      </c>
      <c r="F46" s="53"/>
      <c r="G46" s="11"/>
    </row>
    <row r="47" spans="1:7">
      <c r="A47" s="10"/>
      <c r="B47" s="9"/>
      <c r="C47" s="9"/>
      <c r="D47" s="9"/>
      <c r="F47" s="9"/>
      <c r="G47" s="11"/>
    </row>
    <row r="48" spans="1:7">
      <c r="A48" s="10" t="s">
        <v>228</v>
      </c>
      <c r="B48" s="9"/>
      <c r="C48" s="9"/>
      <c r="D48" s="53">
        <f>SUM(Assumptions!C9:E9)</f>
        <v>1588</v>
      </c>
      <c r="F48" s="53"/>
      <c r="G48" s="11"/>
    </row>
    <row r="49" spans="1:7">
      <c r="A49" s="10"/>
      <c r="B49" s="9"/>
      <c r="C49" s="9"/>
      <c r="D49" s="53"/>
      <c r="E49" s="53"/>
      <c r="F49" s="53"/>
      <c r="G49" s="11"/>
    </row>
    <row r="50" spans="1:7">
      <c r="A50" s="10" t="s">
        <v>226</v>
      </c>
      <c r="B50" s="9"/>
      <c r="C50" s="9"/>
      <c r="D50" s="53">
        <f>CF!V31/D48</f>
        <v>199.31790076051993</v>
      </c>
      <c r="E50" s="9"/>
      <c r="F50" s="9"/>
      <c r="G50" s="11"/>
    </row>
    <row r="51" spans="1:7">
      <c r="A51" s="10"/>
      <c r="B51" s="9"/>
      <c r="C51" s="9"/>
      <c r="D51" s="9"/>
      <c r="E51" s="9"/>
      <c r="F51" s="9"/>
      <c r="G51" s="11"/>
    </row>
    <row r="52" spans="1:7">
      <c r="A52" s="10" t="s">
        <v>214</v>
      </c>
      <c r="B52" s="9"/>
      <c r="C52" s="9"/>
      <c r="D52" s="93">
        <f>CF!B33</f>
        <v>0.14006101489067074</v>
      </c>
      <c r="E52" s="9"/>
      <c r="F52" s="9"/>
      <c r="G52" s="11"/>
    </row>
    <row r="53" spans="1:7">
      <c r="A53" s="10"/>
      <c r="B53" s="80"/>
      <c r="C53" s="12"/>
      <c r="D53" s="94"/>
      <c r="E53" s="9"/>
      <c r="F53" s="9"/>
      <c r="G53" s="11"/>
    </row>
    <row r="54" spans="1:7">
      <c r="A54" s="10"/>
      <c r="B54" s="31">
        <v>2001</v>
      </c>
      <c r="C54" s="31">
        <v>2002</v>
      </c>
      <c r="D54" s="31">
        <v>2003</v>
      </c>
      <c r="E54" s="31">
        <v>2004</v>
      </c>
      <c r="F54" s="31">
        <v>2005</v>
      </c>
      <c r="G54" s="11"/>
    </row>
    <row r="55" spans="1:7">
      <c r="A55" s="10" t="s">
        <v>134</v>
      </c>
      <c r="B55" s="53">
        <f>IS!B27</f>
        <v>102592.929720534</v>
      </c>
      <c r="C55" s="53">
        <f>IS!C27</f>
        <v>107696.18880354257</v>
      </c>
      <c r="D55" s="53">
        <f>IS!D27</f>
        <v>113071.53557120672</v>
      </c>
      <c r="E55" s="53">
        <f>IS!E27</f>
        <v>118835.09197848092</v>
      </c>
      <c r="F55" s="53">
        <f>IS!F27</f>
        <v>124921.89072552331</v>
      </c>
      <c r="G55" s="11"/>
    </row>
    <row r="56" spans="1:7">
      <c r="A56" s="10" t="s">
        <v>135</v>
      </c>
      <c r="B56" s="53">
        <f>IS!B40</f>
        <v>24662.190302135794</v>
      </c>
      <c r="C56" s="53">
        <f>IS!C40</f>
        <v>28194.748537389223</v>
      </c>
      <c r="D56" s="53">
        <f>IS!D40</f>
        <v>32024.944447352864</v>
      </c>
      <c r="E56" s="53">
        <f>IS!E40</f>
        <v>36111.345037368177</v>
      </c>
      <c r="F56" s="53">
        <f>IS!F40</f>
        <v>40614.950000672281</v>
      </c>
      <c r="G56" s="11"/>
    </row>
    <row r="57" spans="1:7">
      <c r="A57" s="10" t="s">
        <v>132</v>
      </c>
      <c r="B57" s="53">
        <f>CF!C17</f>
        <v>57243.756506099089</v>
      </c>
      <c r="C57" s="53">
        <f>CF!D17</f>
        <v>62286.508723728737</v>
      </c>
      <c r="D57" s="53">
        <f>CF!E17</f>
        <v>67341.259911286121</v>
      </c>
      <c r="E57" s="53">
        <f>CF!F17</f>
        <v>72520.397665927871</v>
      </c>
      <c r="F57" s="53">
        <f>CF!G17</f>
        <v>78233.796430738919</v>
      </c>
      <c r="G57" s="11"/>
    </row>
    <row r="58" spans="1:7" ht="13.5" thickBot="1">
      <c r="A58" s="95" t="s">
        <v>133</v>
      </c>
      <c r="B58" s="88">
        <f>CF!C22</f>
        <v>47437.690782167105</v>
      </c>
      <c r="C58" s="88">
        <f>CF!D22</f>
        <v>61752.495691339609</v>
      </c>
      <c r="D58" s="88">
        <f>CF!E22</f>
        <v>65734.859655249922</v>
      </c>
      <c r="E58" s="88">
        <f>CF!F22</f>
        <v>63861.701130577843</v>
      </c>
      <c r="F58" s="88">
        <f>CF!G22</f>
        <v>64038.20735950931</v>
      </c>
      <c r="G58" s="24"/>
    </row>
  </sheetData>
  <pageMargins left="0.75" right="0.75" top="1" bottom="1" header="0.5" footer="0.5"/>
  <pageSetup scale="61" orientation="landscape" r:id="rId1"/>
  <headerFooter alignWithMargins="0">
    <oddHeader>&amp;L&amp;12Enron's Generation&amp;RCONFIDENTIAL</oddHeader>
    <oddFooter>&amp;L&amp;D&amp;C&amp;F&amp;RPage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323850</xdr:colOff>
                    <xdr:row>26</xdr:row>
                    <xdr:rowOff>19050</xdr:rowOff>
                  </from>
                  <to>
                    <xdr:col>3</xdr:col>
                    <xdr:colOff>533400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10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6.85546875" style="6" customWidth="1"/>
    <col min="2" max="21" width="10.7109375" style="6" customWidth="1"/>
    <col min="22" max="22" width="9.140625" style="96"/>
    <col min="23" max="23" width="11" style="96" bestFit="1" customWidth="1"/>
    <col min="24" max="25" width="9.140625" style="96"/>
    <col min="26" max="26" width="7.85546875" style="96" customWidth="1"/>
    <col min="27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78</v>
      </c>
      <c r="B2" s="336"/>
      <c r="C2" s="336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1579.9563105357154</v>
      </c>
      <c r="AA7" s="166">
        <f>C10</f>
        <v>1627.3549998517869</v>
      </c>
      <c r="AB7" s="166">
        <f>D10</f>
        <v>1676.1756498473405</v>
      </c>
      <c r="AC7" s="166">
        <f t="shared" ref="AC7:AS7" si="0">E10</f>
        <v>1726.4609193427605</v>
      </c>
      <c r="AD7" s="166">
        <f t="shared" si="0"/>
        <v>1778.2547469230433</v>
      </c>
      <c r="AE7" s="166">
        <f t="shared" si="0"/>
        <v>1831.6023893307347</v>
      </c>
      <c r="AF7" s="166">
        <f t="shared" si="0"/>
        <v>1886.5504610106568</v>
      </c>
      <c r="AG7" s="166">
        <f t="shared" si="0"/>
        <v>1943.1469748409763</v>
      </c>
      <c r="AH7" s="166">
        <f t="shared" si="0"/>
        <v>2001.441384086206</v>
      </c>
      <c r="AI7" s="166">
        <f t="shared" si="0"/>
        <v>2061.4846256087922</v>
      </c>
      <c r="AJ7" s="166">
        <f t="shared" si="0"/>
        <v>2123.3291643770558</v>
      </c>
      <c r="AK7" s="166">
        <f t="shared" si="0"/>
        <v>2187.0290393083674</v>
      </c>
      <c r="AL7" s="166">
        <f t="shared" si="0"/>
        <v>2252.6399104876177</v>
      </c>
      <c r="AM7" s="166">
        <f t="shared" si="0"/>
        <v>2320.219107802247</v>
      </c>
      <c r="AN7" s="166">
        <f t="shared" si="0"/>
        <v>2389.8256810363146</v>
      </c>
      <c r="AO7" s="166">
        <f t="shared" si="0"/>
        <v>2461.5204514674033</v>
      </c>
      <c r="AP7" s="166">
        <f t="shared" si="0"/>
        <v>2535.3660650114257</v>
      </c>
      <c r="AQ7" s="166">
        <f t="shared" si="0"/>
        <v>2611.4270469617682</v>
      </c>
      <c r="AR7" s="166">
        <f t="shared" si="0"/>
        <v>2689.7698583706215</v>
      </c>
      <c r="AS7" s="166">
        <f t="shared" si="0"/>
        <v>2770.4629541217396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0">
        <v>0</v>
      </c>
      <c r="Z8" s="338">
        <f>B17+1/3*B18</f>
        <v>1579.9563105357156</v>
      </c>
      <c r="AA8" s="338">
        <f>C17+1/3*C18</f>
        <v>1627.3549998517872</v>
      </c>
      <c r="AB8" s="338">
        <f>D17+1/3*D18</f>
        <v>1676.1756498473408</v>
      </c>
      <c r="AC8" s="338">
        <f t="shared" ref="AC8:AS8" si="1">E17+1/3*E18</f>
        <v>1726.4609193427605</v>
      </c>
      <c r="AD8" s="338">
        <f t="shared" si="1"/>
        <v>1778.2547469230433</v>
      </c>
      <c r="AE8" s="338">
        <f t="shared" si="1"/>
        <v>1831.6023893307347</v>
      </c>
      <c r="AF8" s="338">
        <f t="shared" si="1"/>
        <v>1886.5504610106568</v>
      </c>
      <c r="AG8" s="338">
        <f t="shared" si="1"/>
        <v>1943.1469748409766</v>
      </c>
      <c r="AH8" s="338">
        <f t="shared" si="1"/>
        <v>2001.4413840862062</v>
      </c>
      <c r="AI8" s="338">
        <f t="shared" si="1"/>
        <v>2061.4846256087922</v>
      </c>
      <c r="AJ8" s="338">
        <f t="shared" si="1"/>
        <v>2123.3291643770558</v>
      </c>
      <c r="AK8" s="338">
        <f t="shared" si="1"/>
        <v>2187.0290393083674</v>
      </c>
      <c r="AL8" s="338">
        <f t="shared" si="1"/>
        <v>2252.6399104876182</v>
      </c>
      <c r="AM8" s="338">
        <f t="shared" si="1"/>
        <v>2320.219107802247</v>
      </c>
      <c r="AN8" s="338">
        <f t="shared" si="1"/>
        <v>2389.8256810363146</v>
      </c>
      <c r="AO8" s="338">
        <f t="shared" si="1"/>
        <v>2461.5204514674033</v>
      </c>
      <c r="AP8" s="338">
        <f t="shared" si="1"/>
        <v>2535.3660650114257</v>
      </c>
      <c r="AQ8" s="338">
        <f t="shared" si="1"/>
        <v>2611.4270469617686</v>
      </c>
      <c r="AR8" s="338">
        <f t="shared" si="1"/>
        <v>2689.7698583706215</v>
      </c>
      <c r="AS8" s="338">
        <f t="shared" si="1"/>
        <v>2770.46295412174</v>
      </c>
    </row>
    <row r="9" spans="1:45">
      <c r="A9" s="175" t="s">
        <v>51</v>
      </c>
      <c r="B9" s="180">
        <f>'Power Price Assumption'!C32*Assumptions!$D$9*12</f>
        <v>32703.680019500003</v>
      </c>
      <c r="C9" s="180">
        <f>'Power Price Assumption'!D32*Assumptions!$D$9*12</f>
        <v>34437.60555310503</v>
      </c>
      <c r="D9" s="180">
        <f>'Power Price Assumption'!E32*Assumptions!$D$9*12</f>
        <v>36263.462568252646</v>
      </c>
      <c r="E9" s="180">
        <f>'Power Price Assumption'!F32*Assumptions!$D$9*12</f>
        <v>38186.125205806944</v>
      </c>
      <c r="F9" s="180">
        <f>'Power Price Assumption'!G32*Assumptions!$D$9*12</f>
        <v>40210.726030066122</v>
      </c>
      <c r="G9" s="180">
        <f>'Power Price Assumption'!H32*Assumptions!$D$9*12</f>
        <v>41027.476548845225</v>
      </c>
      <c r="H9" s="180">
        <f>'Power Price Assumption'!I32*Assumptions!$D$9*12</f>
        <v>41860.816706155776</v>
      </c>
      <c r="I9" s="180">
        <f>'Power Price Assumption'!J32*Assumptions!$D$9*12</f>
        <v>42711.083466713768</v>
      </c>
      <c r="J9" s="180">
        <f>'Power Price Assumption'!K32*Assumptions!$D$9*12</f>
        <v>43578.620639580855</v>
      </c>
      <c r="K9" s="180">
        <f>'Power Price Assumption'!L32*Assumptions!$D$9*12</f>
        <v>44463.779017184934</v>
      </c>
      <c r="L9" s="180">
        <f>'Power Price Assumption'!M32*Assumptions!$D$9*12</f>
        <v>45033.969458996071</v>
      </c>
      <c r="M9" s="180">
        <f>'Power Price Assumption'!N32*Assumptions!$D$9*12</f>
        <v>45611.471855551499</v>
      </c>
      <c r="N9" s="180">
        <f>'Power Price Assumption'!O32*Assumptions!$D$9*12</f>
        <v>46196.379973211093</v>
      </c>
      <c r="O9" s="180">
        <f>'Power Price Assumption'!P32*Assumptions!$D$9*12</f>
        <v>46788.788780767012</v>
      </c>
      <c r="P9" s="180">
        <f>'Power Price Assumption'!Q32*Assumptions!$D$9*12</f>
        <v>47388.794464863364</v>
      </c>
      <c r="Q9" s="180">
        <f>'Power Price Assumption'!R32*Assumptions!$D$9*12</f>
        <v>48105.317812997419</v>
      </c>
      <c r="R9" s="180">
        <f>'Power Price Assumption'!S32*Assumptions!$D$9*12</f>
        <v>48832.675066366217</v>
      </c>
      <c r="S9" s="180">
        <f>'Power Price Assumption'!T32*Assumptions!$D$9*12</f>
        <v>49571.030034708747</v>
      </c>
      <c r="T9" s="180">
        <f>'Power Price Assumption'!U32*Assumptions!$D$9*12</f>
        <v>50320.549004583765</v>
      </c>
      <c r="U9" s="180">
        <f>'Power Price Assumption'!V32*Assumptions!$D$9*12</f>
        <v>51081.400776819544</v>
      </c>
      <c r="V9" s="339"/>
      <c r="W9" s="172">
        <f>SUM(B9:U9)</f>
        <v>874373.75298407604</v>
      </c>
      <c r="X9" s="5"/>
      <c r="Y9" s="165"/>
      <c r="Z9" s="402">
        <f>Z7-Z8</f>
        <v>0</v>
      </c>
      <c r="AA9" s="402">
        <f t="shared" ref="AA9:AS9" si="2">AA7-AA8</f>
        <v>0</v>
      </c>
      <c r="AB9" s="402">
        <f t="shared" si="2"/>
        <v>0</v>
      </c>
      <c r="AC9" s="402">
        <f t="shared" si="2"/>
        <v>0</v>
      </c>
      <c r="AD9" s="402">
        <f t="shared" si="2"/>
        <v>0</v>
      </c>
      <c r="AE9" s="402">
        <f t="shared" si="2"/>
        <v>0</v>
      </c>
      <c r="AF9" s="402">
        <f t="shared" si="2"/>
        <v>0</v>
      </c>
      <c r="AG9" s="402">
        <f t="shared" si="2"/>
        <v>0</v>
      </c>
      <c r="AH9" s="402">
        <f t="shared" si="2"/>
        <v>0</v>
      </c>
      <c r="AI9" s="402">
        <f t="shared" si="2"/>
        <v>0</v>
      </c>
      <c r="AJ9" s="402">
        <f t="shared" si="2"/>
        <v>0</v>
      </c>
      <c r="AK9" s="402">
        <f t="shared" si="2"/>
        <v>0</v>
      </c>
      <c r="AL9" s="402">
        <f t="shared" si="2"/>
        <v>0</v>
      </c>
      <c r="AM9" s="402">
        <f t="shared" si="2"/>
        <v>0</v>
      </c>
      <c r="AN9" s="402">
        <f t="shared" si="2"/>
        <v>0</v>
      </c>
      <c r="AO9" s="402">
        <f t="shared" si="2"/>
        <v>0</v>
      </c>
      <c r="AP9" s="402">
        <f t="shared" si="2"/>
        <v>0</v>
      </c>
      <c r="AQ9" s="402">
        <f t="shared" si="2"/>
        <v>0</v>
      </c>
      <c r="AR9" s="402">
        <f t="shared" si="2"/>
        <v>0</v>
      </c>
      <c r="AS9" s="402">
        <f t="shared" si="2"/>
        <v>0</v>
      </c>
    </row>
    <row r="10" spans="1:45">
      <c r="A10" s="175" t="s">
        <v>52</v>
      </c>
      <c r="B10" s="161">
        <f>1/3*Assumptions!$D$18*Assumptions!$D$11*Assumptions!$D$8/1000*(1+Assumptions!$D$25)^(B5-2000)+Assumptions!$D$19*Assumptions!$D$17*(1+Assumptions!$D$25)^(B5-2000)/1000</f>
        <v>1579.9563105357154</v>
      </c>
      <c r="C10" s="161">
        <f>1/3*Assumptions!$D$18*Assumptions!$D$11*Assumptions!$D$8/1000*(1+Assumptions!$D$25)^(C5-2000)+Assumptions!$D$19*Assumptions!$D$17*(1+Assumptions!$D$25)^(C5-2000)/1000</f>
        <v>1627.3549998517869</v>
      </c>
      <c r="D10" s="161">
        <f>1/3*Assumptions!$D$18*Assumptions!$D$11*Assumptions!$D$8/1000*(1+Assumptions!$D$25)^(D5-2000)+Assumptions!$D$19*Assumptions!$D$17*(1+Assumptions!$D$25)^(D5-2000)/1000</f>
        <v>1676.1756498473405</v>
      </c>
      <c r="E10" s="161">
        <f>1/3*Assumptions!$D$18*Assumptions!$D$11*Assumptions!$D$8/1000*(1+Assumptions!$D$25)^(E5-2000)+Assumptions!$D$19*Assumptions!$D$17*(1+Assumptions!$D$25)^(E5-2000)/1000</f>
        <v>1726.4609193427605</v>
      </c>
      <c r="F10" s="161">
        <f>1/3*Assumptions!$D$18*Assumptions!$D$11*Assumptions!$D$8/1000*(1+Assumptions!$D$25)^(F5-2000)+Assumptions!$D$19*Assumptions!$D$17*(1+Assumptions!$D$25)^(F5-2000)/1000</f>
        <v>1778.2547469230433</v>
      </c>
      <c r="G10" s="161">
        <f>1/3*Assumptions!$D$18*Assumptions!$D$11*Assumptions!$D$8/1000*(1+Assumptions!$D$25)^(G5-2000)+Assumptions!$D$19*Assumptions!$D$17*(1+Assumptions!$D$25)^(G5-2000)/1000</f>
        <v>1831.6023893307347</v>
      </c>
      <c r="H10" s="161">
        <f>1/3*Assumptions!$D$18*Assumptions!$D$11*Assumptions!$D$8/1000*(1+Assumptions!$D$25)^(H5-2000)+Assumptions!$D$19*Assumptions!$D$17*(1+Assumptions!$D$25)^(H5-2000)/1000</f>
        <v>1886.5504610106568</v>
      </c>
      <c r="I10" s="161">
        <f>1/3*Assumptions!$D$18*Assumptions!$D$11*Assumptions!$D$8/1000*(1+Assumptions!$D$25)^(I5-2000)+Assumptions!$D$19*Assumptions!$D$17*(1+Assumptions!$D$25)^(I5-2000)/1000</f>
        <v>1943.1469748409763</v>
      </c>
      <c r="J10" s="161">
        <f>1/3*Assumptions!$D$18*Assumptions!$D$11*Assumptions!$D$8/1000*(1+Assumptions!$D$25)^(J5-2000)+Assumptions!$D$19*Assumptions!$D$17*(1+Assumptions!$D$25)^(J5-2000)/1000</f>
        <v>2001.441384086206</v>
      </c>
      <c r="K10" s="161">
        <f>1/3*Assumptions!$D$18*Assumptions!$D$11*Assumptions!$D$8/1000*(1+Assumptions!$D$25)^(K5-2000)+Assumptions!$D$19*Assumptions!$D$17*(1+Assumptions!$D$25)^(K5-2000)/1000</f>
        <v>2061.4846256087922</v>
      </c>
      <c r="L10" s="161">
        <f>1/3*Assumptions!$D$18*Assumptions!$D$11*Assumptions!$D$8/1000*(1+Assumptions!$D$25)^(L5-2000)+Assumptions!$D$19*Assumptions!$D$17*(1+Assumptions!$D$25)^(L5-2000)/1000</f>
        <v>2123.3291643770558</v>
      </c>
      <c r="M10" s="161">
        <f>1/3*Assumptions!$D$18*Assumptions!$D$11*Assumptions!$D$8/1000*(1+Assumptions!$D$25)^(M5-2000)+Assumptions!$D$19*Assumptions!$D$17*(1+Assumptions!$D$25)^(M5-2000)/1000</f>
        <v>2187.0290393083674</v>
      </c>
      <c r="N10" s="161">
        <f>1/3*Assumptions!$D$18*Assumptions!$D$11*Assumptions!$D$8/1000*(1+Assumptions!$D$25)^(N5-2000)+Assumptions!$D$19*Assumptions!$D$17*(1+Assumptions!$D$25)^(N5-2000)/1000</f>
        <v>2252.6399104876177</v>
      </c>
      <c r="O10" s="161">
        <f>1/3*Assumptions!$D$18*Assumptions!$D$11*Assumptions!$D$8/1000*(1+Assumptions!$D$25)^(O5-2000)+Assumptions!$D$19*Assumptions!$D$17*(1+Assumptions!$D$25)^(O5-2000)/1000</f>
        <v>2320.219107802247</v>
      </c>
      <c r="P10" s="161">
        <f>1/3*Assumptions!$D$18*Assumptions!$D$11*Assumptions!$D$8/1000*(1+Assumptions!$D$25)^(P5-2000)+Assumptions!$D$19*Assumptions!$D$17*(1+Assumptions!$D$25)^(P5-2000)/1000</f>
        <v>2389.8256810363146</v>
      </c>
      <c r="Q10" s="161">
        <f>1/3*Assumptions!$D$18*Assumptions!$D$11*Assumptions!$D$8/1000*(1+Assumptions!$D$25)^(Q5-2000)+Assumptions!$D$19*Assumptions!$D$17*(1+Assumptions!$D$25)^(Q5-2000)/1000</f>
        <v>2461.5204514674033</v>
      </c>
      <c r="R10" s="161">
        <f>1/3*Assumptions!$D$18*Assumptions!$D$11*Assumptions!$D$8/1000*(1+Assumptions!$D$25)^(R5-2000)+Assumptions!$D$19*Assumptions!$D$17*(1+Assumptions!$D$25)^(R5-2000)/1000</f>
        <v>2535.3660650114257</v>
      </c>
      <c r="S10" s="161">
        <f>1/3*Assumptions!$D$18*Assumptions!$D$11*Assumptions!$D$8/1000*(1+Assumptions!$D$25)^(S5-2000)+Assumptions!$D$19*Assumptions!$D$17*(1+Assumptions!$D$25)^(S5-2000)/1000</f>
        <v>2611.4270469617682</v>
      </c>
      <c r="T10" s="161">
        <f>1/3*Assumptions!$D$18*Assumptions!$D$11*Assumptions!$D$8/1000*(1+Assumptions!$D$25)^(T5-2000)+Assumptions!$D$19*Assumptions!$D$17*(1+Assumptions!$D$25)^(T5-2000)/1000</f>
        <v>2689.7698583706215</v>
      </c>
      <c r="U10" s="161">
        <f>1/3*Assumptions!$D$18*Assumptions!$D$11*Assumptions!$D$8/1000*(1+Assumptions!$D$25)^(U5-2000)+Assumptions!$D$19*Assumptions!$D$17*(1+Assumptions!$D$25)^(U5-2000)/1000</f>
        <v>2770.4629541217396</v>
      </c>
      <c r="V10" s="339"/>
      <c r="W10" s="172">
        <f>SUM(B10:U10)</f>
        <v>42454.017740322575</v>
      </c>
      <c r="X10" s="5"/>
      <c r="Y10" s="5"/>
      <c r="Z10" s="5"/>
      <c r="AA10" s="5"/>
      <c r="AB10" s="9"/>
      <c r="AC10" s="9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381.47450349375003</v>
      </c>
      <c r="C12" s="272">
        <f>(SUM(C8:C10)-SUM(C16:C21))*'Summary Output'!$B$24/4</f>
        <v>400.85409026131288</v>
      </c>
      <c r="D12" s="272">
        <f>(SUM(D8:D10)-SUM(D16:D21))*'Summary Output'!$B$24/4</f>
        <v>421.5973687010831</v>
      </c>
      <c r="E12" s="272">
        <f>(SUM(E8:E10)-SUM(E16:E21))*'Summary Output'!$B$24/4</f>
        <v>443.77181539344957</v>
      </c>
      <c r="F12" s="272">
        <f>(SUM(F8:F10)-SUM(F16:F21))*'Summary Output'!$B$24/4</f>
        <v>467.55535258131516</v>
      </c>
      <c r="G12" s="272">
        <f>(SUM(G8:G10)-SUM(G16:G21))*'Summary Output'!$B$24/4</f>
        <v>475.31214150721866</v>
      </c>
      <c r="H12" s="272">
        <f>(SUM(H8:H10)-SUM(H16:H21))*'Summary Output'!$B$24/4</f>
        <v>482.62367538800009</v>
      </c>
      <c r="I12" s="272">
        <f>(SUM(I8:I10)-SUM(I16:I21))*'Summary Output'!$B$24/4</f>
        <v>490.87114851680656</v>
      </c>
      <c r="J12" s="272">
        <f>(SUM(J8:J10)-SUM(J16:J21))*'Summary Output'!$B$24/4</f>
        <v>500.55645333313169</v>
      </c>
      <c r="K12" s="272">
        <f>(SUM(K8:K10)-SUM(K16:K21))*'Summary Output'!$B$24/4</f>
        <v>511.40815641333387</v>
      </c>
      <c r="L12" s="272">
        <f>(SUM(L8:L10)-SUM(L16:L21))*'Summary Output'!$B$24/4</f>
        <v>515.52764874692878</v>
      </c>
      <c r="M12" s="272">
        <f>(SUM(M8:M10)-SUM(M16:M21))*'Summary Output'!$B$24/4</f>
        <v>521.64530699415593</v>
      </c>
      <c r="N12" s="272">
        <f>(SUM(N8:N10)-SUM(N16:N21))*'Summary Output'!$B$24/4</f>
        <v>527.8220782288937</v>
      </c>
      <c r="O12" s="272">
        <f>(SUM(O8:O10)-SUM(O16:O21))*'Summary Output'!$B$24/4</f>
        <v>534.05857068025523</v>
      </c>
      <c r="P12" s="272">
        <f>(SUM(P8:P10)-SUM(P16:P21))*'Summary Output'!$B$24/4</f>
        <v>540.3549655590798</v>
      </c>
      <c r="Q12" s="272">
        <f>(SUM(Q8:Q10)-SUM(Q16:Q21))*'Summary Output'!$B$24/4</f>
        <v>548.07172095320402</v>
      </c>
      <c r="R12" s="272">
        <f>(SUM(R8:R10)-SUM(R16:R21))*'Summary Output'!$B$24/4</f>
        <v>555.88670656903605</v>
      </c>
      <c r="S12" s="272">
        <f>(SUM(S8:S10)-SUM(S16:S21))*'Summary Output'!$B$24/4</f>
        <v>563.80085422050149</v>
      </c>
      <c r="T12" s="272">
        <f>(SUM(T8:T10)-SUM(T16:T21))*'Summary Output'!$B$24/4</f>
        <v>571.81509320753855</v>
      </c>
      <c r="U12" s="272">
        <f>(SUM(U8:U10)-SUM(U16:U21))*'Summary Output'!$B$24/4</f>
        <v>579.93034977999287</v>
      </c>
      <c r="V12" s="339"/>
      <c r="W12" s="172">
        <f>SUM(B12:U12)</f>
        <v>10034.938000528986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34665.11083352947</v>
      </c>
      <c r="C13" s="204">
        <f t="shared" si="3"/>
        <v>36465.814643218124</v>
      </c>
      <c r="D13" s="204">
        <f t="shared" si="3"/>
        <v>38361.235586801071</v>
      </c>
      <c r="E13" s="204">
        <f t="shared" si="3"/>
        <v>40356.357940543152</v>
      </c>
      <c r="F13" s="204">
        <f t="shared" si="3"/>
        <v>42456.536129570479</v>
      </c>
      <c r="G13" s="204">
        <f t="shared" si="3"/>
        <v>43334.391079683177</v>
      </c>
      <c r="H13" s="204">
        <f t="shared" si="3"/>
        <v>44229.990842554434</v>
      </c>
      <c r="I13" s="204">
        <f t="shared" si="3"/>
        <v>45145.10159007155</v>
      </c>
      <c r="J13" s="204">
        <f t="shared" si="3"/>
        <v>46080.618477000193</v>
      </c>
      <c r="K13" s="204">
        <f t="shared" si="3"/>
        <v>47036.671799207055</v>
      </c>
      <c r="L13" s="204">
        <f t="shared" si="3"/>
        <v>47672.826272120059</v>
      </c>
      <c r="M13" s="204">
        <f t="shared" si="3"/>
        <v>48320.146201854026</v>
      </c>
      <c r="N13" s="204">
        <f t="shared" si="3"/>
        <v>48976.841961927603</v>
      </c>
      <c r="O13" s="204">
        <f t="shared" si="3"/>
        <v>49643.066459249509</v>
      </c>
      <c r="P13" s="204">
        <f t="shared" si="3"/>
        <v>50318.975111458763</v>
      </c>
      <c r="Q13" s="204">
        <f t="shared" si="3"/>
        <v>51114.909985418024</v>
      </c>
      <c r="R13" s="204">
        <f t="shared" si="3"/>
        <v>51923.927837946678</v>
      </c>
      <c r="S13" s="204">
        <f t="shared" si="3"/>
        <v>52746.257935891015</v>
      </c>
      <c r="T13" s="204">
        <f t="shared" si="3"/>
        <v>53582.133956161924</v>
      </c>
      <c r="U13" s="204">
        <f t="shared" si="3"/>
        <v>54431.794080721273</v>
      </c>
      <c r="V13" s="339"/>
      <c r="W13" s="172">
        <f>SUM(B13:U13)</f>
        <v>926862.70872492762</v>
      </c>
      <c r="X13" s="5"/>
      <c r="Y13" s="5"/>
      <c r="Z13" s="5"/>
      <c r="AA13" s="5"/>
      <c r="AB13" s="9"/>
      <c r="AC13" s="9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9"/>
      <c r="AC14" s="9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9"/>
      <c r="AC15" s="9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Assumptions!D28*(1+Assumptions!$D$25)</f>
        <v>1561.2639942857145</v>
      </c>
      <c r="C16" s="172">
        <f>B16*(1+Assumptions!$D$25)</f>
        <v>1608.101914114286</v>
      </c>
      <c r="D16" s="172">
        <f>C16*(1+Assumptions!$D$25)</f>
        <v>1656.3449715377146</v>
      </c>
      <c r="E16" s="172">
        <f>D16*(1+Assumptions!$D$25)</f>
        <v>1706.0353206838461</v>
      </c>
      <c r="F16" s="172">
        <f>E16*(1+Assumptions!$D$25)</f>
        <v>1757.2163803043616</v>
      </c>
      <c r="G16" s="172">
        <f>F16*(1+Assumptions!$D$25)</f>
        <v>1809.9328717134924</v>
      </c>
      <c r="H16" s="172">
        <f>G16*(1+Assumptions!$D$25)</f>
        <v>1864.2308578648972</v>
      </c>
      <c r="I16" s="172">
        <f>H16*(1+Assumptions!$D$25)</f>
        <v>1920.1577836008441</v>
      </c>
      <c r="J16" s="172">
        <f>I16*(1+Assumptions!$D$25)</f>
        <v>1977.7625171088696</v>
      </c>
      <c r="K16" s="172">
        <f>J16*(1+Assumptions!$D$25)</f>
        <v>2037.0953926221357</v>
      </c>
      <c r="L16" s="172">
        <f>K16*(1+Assumptions!$D$25)</f>
        <v>2098.2082544007999</v>
      </c>
      <c r="M16" s="172">
        <f>L16*(1+Assumptions!$D$25)</f>
        <v>2161.154502032824</v>
      </c>
      <c r="N16" s="172">
        <f>M16*(1+Assumptions!$D$25)</f>
        <v>2225.9891370938089</v>
      </c>
      <c r="O16" s="172">
        <f>N16*(1+Assumptions!$D$25)</f>
        <v>2292.7688112066235</v>
      </c>
      <c r="P16" s="172">
        <f>O16*(1+Assumptions!$D$25)</f>
        <v>2361.551875542822</v>
      </c>
      <c r="Q16" s="172">
        <f>P16*(1+Assumptions!$D$25)</f>
        <v>2432.3984318091066</v>
      </c>
      <c r="R16" s="172">
        <f>Q16*(1+Assumptions!$D$25)</f>
        <v>2505.3703847633797</v>
      </c>
      <c r="S16" s="172">
        <f>R16*(1+Assumptions!$D$25)</f>
        <v>2580.531496306281</v>
      </c>
      <c r="T16" s="172">
        <f>S16*(1+Assumptions!$D$25)</f>
        <v>2657.9474411954698</v>
      </c>
      <c r="U16" s="172">
        <f>T16*(1+Assumptions!$D$25)</f>
        <v>2737.6858644313338</v>
      </c>
      <c r="V16" s="96"/>
      <c r="W16" s="172">
        <f t="shared" ref="W16:W22" si="4">SUM(B16:U16)</f>
        <v>41951.748202618604</v>
      </c>
      <c r="X16" s="5"/>
      <c r="Y16" s="5"/>
      <c r="Z16" s="5"/>
      <c r="AA16" s="5"/>
      <c r="AB16" s="9"/>
      <c r="AC16" s="9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Assumptions!$D$29*(1+Assumptions!$D$25)</f>
        <v>1425.4563105357156</v>
      </c>
      <c r="C17" s="204">
        <f>B17*(1+Assumptions!$D$25)</f>
        <v>1468.2199998517872</v>
      </c>
      <c r="D17" s="204">
        <f>C17*(1+Assumptions!$D$25)</f>
        <v>1512.2665998473408</v>
      </c>
      <c r="E17" s="161">
        <f>Assumptions!$D$19*Assumptions!$D$23*(1+Assumptions!$D$25)^(E5-2000)/1000</f>
        <v>1557.6345978427605</v>
      </c>
      <c r="F17" s="161">
        <f>Assumptions!$D$19*Assumptions!$D$23*(1+Assumptions!$D$25)^(F5-2000)/1000</f>
        <v>1604.3636357780433</v>
      </c>
      <c r="G17" s="161">
        <f>Assumptions!$D$19*Assumptions!$D$23*(1+Assumptions!$D$25)^(G5-2000)/1000</f>
        <v>1652.4945448513847</v>
      </c>
      <c r="H17" s="161">
        <f>Assumptions!$D$19*Assumptions!$D$23*(1+Assumptions!$D$25)^(H5-2000)/1000</f>
        <v>1702.0693811969263</v>
      </c>
      <c r="I17" s="161">
        <f>Assumptions!$D$19*Assumptions!$D$23*(1+Assumptions!$D$25)^(I5-2000)/1000</f>
        <v>1753.131462632834</v>
      </c>
      <c r="J17" s="161">
        <f>Assumptions!$D$19*Assumptions!$D$23*(1+Assumptions!$D$25)^(J5-2000)/1000</f>
        <v>1805.7254065118193</v>
      </c>
      <c r="K17" s="161">
        <f>Assumptions!$D$19*Assumptions!$D$23*(1+Assumptions!$D$25)^(K5-2000)/1000</f>
        <v>1859.8971687071737</v>
      </c>
      <c r="L17" s="161">
        <f>Assumptions!$D$19*Assumptions!$D$23*(1+Assumptions!$D$25)^(L5-2000)/1000</f>
        <v>1915.694083768389</v>
      </c>
      <c r="M17" s="161">
        <f>Assumptions!$D$19*Assumptions!$D$23*(1+Assumptions!$D$25)^(M5-2000)/1000</f>
        <v>1973.1649062814404</v>
      </c>
      <c r="N17" s="161">
        <f>Assumptions!$D$19*Assumptions!$D$23*(1+Assumptions!$D$25)^(N5-2000)/1000</f>
        <v>2032.3598534698833</v>
      </c>
      <c r="O17" s="161">
        <f>Assumptions!$D$19*Assumptions!$D$23*(1+Assumptions!$D$25)^(O5-2000)/1000</f>
        <v>2093.3306490739801</v>
      </c>
      <c r="P17" s="161">
        <f>Assumptions!$D$19*Assumptions!$D$23*(1+Assumptions!$D$25)^(P5-2000)/1000</f>
        <v>2156.1305685461998</v>
      </c>
      <c r="Q17" s="161">
        <f>Assumptions!$D$19*Assumptions!$D$23*(1+Assumptions!$D$25)^(Q5-2000)/1000</f>
        <v>2220.8144856025851</v>
      </c>
      <c r="R17" s="161">
        <f>Assumptions!$D$19*Assumptions!$D$23*(1+Assumptions!$D$25)^(R5-2000)/1000</f>
        <v>2287.4389201706631</v>
      </c>
      <c r="S17" s="161">
        <f>Assumptions!$D$19*Assumptions!$D$23*(1+Assumptions!$D$25)^(S5-2000)/1000</f>
        <v>2356.0620877757829</v>
      </c>
      <c r="T17" s="161">
        <f>Assumptions!$D$19*Assumptions!$D$23*(1+Assumptions!$D$25)^(T5-2000)/1000</f>
        <v>2426.7439504090562</v>
      </c>
      <c r="U17" s="161">
        <f>Assumptions!$D$19*Assumptions!$D$23*(1+Assumptions!$D$25)^(U5-2000)/1000</f>
        <v>2499.5462689213277</v>
      </c>
      <c r="V17" s="96"/>
      <c r="W17" s="172">
        <f t="shared" si="4"/>
        <v>38302.544881775102</v>
      </c>
      <c r="X17" s="5"/>
      <c r="Y17" s="5"/>
      <c r="Z17" s="5"/>
      <c r="AA17" s="5"/>
      <c r="AB17" s="9"/>
      <c r="AC17" s="9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Assumptions!$D$24*Assumptions!$D$11*Assumptions!$D$8/1000*(1+Assumptions!$D$25)</f>
        <v>463.5</v>
      </c>
      <c r="C18" s="172">
        <f>B18*(1+Assumptions!$D$25)</f>
        <v>477.40500000000003</v>
      </c>
      <c r="D18" s="172">
        <f>C18*(1+Assumptions!$D$25)</f>
        <v>491.72715000000005</v>
      </c>
      <c r="E18" s="172">
        <f>D18*(1+Assumptions!$D$25)</f>
        <v>506.47896450000007</v>
      </c>
      <c r="F18" s="172">
        <f>E18*(1+Assumptions!$D$25)</f>
        <v>521.67333343500013</v>
      </c>
      <c r="G18" s="172">
        <f>F18*(1+Assumptions!$D$25)</f>
        <v>537.32353343805016</v>
      </c>
      <c r="H18" s="172">
        <f>G18*(1+Assumptions!$D$25)</f>
        <v>553.44323944119174</v>
      </c>
      <c r="I18" s="172">
        <f>H18*(1+Assumptions!$D$25)</f>
        <v>570.04653662442752</v>
      </c>
      <c r="J18" s="172">
        <f>I18*(1+Assumptions!$D$25)</f>
        <v>587.14793272316035</v>
      </c>
      <c r="K18" s="172">
        <f>J18*(1+Assumptions!$D$25)</f>
        <v>604.76237070485513</v>
      </c>
      <c r="L18" s="172">
        <f>K18*(1+Assumptions!$D$25)</f>
        <v>622.90524182600075</v>
      </c>
      <c r="M18" s="172">
        <f>L18*(1+Assumptions!$D$25)</f>
        <v>641.59239908078075</v>
      </c>
      <c r="N18" s="172">
        <f>M18*(1+Assumptions!$D$25)</f>
        <v>660.84017105320424</v>
      </c>
      <c r="O18" s="172">
        <f>N18*(1+Assumptions!$D$25)</f>
        <v>680.66537618480038</v>
      </c>
      <c r="P18" s="172">
        <f>O18*(1+Assumptions!$D$25)</f>
        <v>701.08533747034437</v>
      </c>
      <c r="Q18" s="172">
        <f>P18*(1+Assumptions!$D$25)</f>
        <v>722.11789759445469</v>
      </c>
      <c r="R18" s="172">
        <f>Q18*(1+Assumptions!$D$25)</f>
        <v>743.78143452228835</v>
      </c>
      <c r="S18" s="172">
        <f>R18*(1+Assumptions!$D$25)</f>
        <v>766.09487755795703</v>
      </c>
      <c r="T18" s="172">
        <f>S18*(1+Assumptions!$D$25)</f>
        <v>789.07772388469573</v>
      </c>
      <c r="U18" s="172">
        <f>T18*(1+Assumptions!$D$25)</f>
        <v>812.75005560123657</v>
      </c>
      <c r="V18" s="96"/>
      <c r="W18" s="172">
        <f t="shared" si="4"/>
        <v>12454.418575642445</v>
      </c>
      <c r="X18" s="5"/>
      <c r="Y18" s="5"/>
      <c r="Z18" s="5"/>
      <c r="AA18" s="5"/>
      <c r="AB18" s="9"/>
      <c r="AC18" s="9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Assumptions!D31*(1+Assumptions!$D$25)</f>
        <v>315.45574571428568</v>
      </c>
      <c r="C19" s="172">
        <f>B19*(1+Assumptions!$D$25)</f>
        <v>324.91941808571426</v>
      </c>
      <c r="D19" s="172">
        <f>C19*(1+Assumptions!$D$25)</f>
        <v>334.66700062828568</v>
      </c>
      <c r="E19" s="172">
        <f>D19*(1+Assumptions!$D$25)</f>
        <v>344.70701064713427</v>
      </c>
      <c r="F19" s="172">
        <f>E19*(1+Assumptions!$D$25)</f>
        <v>355.04822096654829</v>
      </c>
      <c r="G19" s="172">
        <f>F19*(1+Assumptions!$D$25)</f>
        <v>365.69966759554472</v>
      </c>
      <c r="H19" s="172">
        <f>G19*(1+Assumptions!$D$25)</f>
        <v>376.6706576234111</v>
      </c>
      <c r="I19" s="172">
        <f>H19*(1+Assumptions!$D$25)</f>
        <v>387.97077735211343</v>
      </c>
      <c r="J19" s="172">
        <f>I19*(1+Assumptions!$D$25)</f>
        <v>399.60990067267682</v>
      </c>
      <c r="K19" s="172">
        <f>J19*(1+Assumptions!$D$25)</f>
        <v>411.59819769285713</v>
      </c>
      <c r="L19" s="172">
        <f>K19*(1+Assumptions!$D$25)</f>
        <v>423.94614362364285</v>
      </c>
      <c r="M19" s="172">
        <f>L19*(1+Assumptions!$D$25)</f>
        <v>436.66452793235214</v>
      </c>
      <c r="N19" s="172">
        <f>M19*(1+Assumptions!$D$25)</f>
        <v>449.76446377032272</v>
      </c>
      <c r="O19" s="172">
        <f>N19*(1+Assumptions!$D$25)</f>
        <v>463.25739768343243</v>
      </c>
      <c r="P19" s="172">
        <f>O19*(1+Assumptions!$D$25)</f>
        <v>477.15511961393543</v>
      </c>
      <c r="Q19" s="172">
        <f>P19*(1+Assumptions!$D$25)</f>
        <v>491.46977320235351</v>
      </c>
      <c r="R19" s="172">
        <f>Q19*(1+Assumptions!$D$25)</f>
        <v>506.2138663984241</v>
      </c>
      <c r="S19" s="172">
        <f>R19*(1+Assumptions!$D$25)</f>
        <v>521.40028239037679</v>
      </c>
      <c r="T19" s="172">
        <f>S19*(1+Assumptions!$D$25)</f>
        <v>537.04229086208807</v>
      </c>
      <c r="U19" s="172">
        <f>T19*(1+Assumptions!$D$25)</f>
        <v>553.15355958795067</v>
      </c>
      <c r="V19" s="96"/>
      <c r="W19" s="172">
        <f t="shared" si="4"/>
        <v>8476.4140220434492</v>
      </c>
      <c r="X19" s="5"/>
      <c r="Y19" s="5"/>
      <c r="Z19" s="5"/>
      <c r="AA19" s="5"/>
      <c r="AB19" s="9"/>
      <c r="AC19" s="9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0</v>
      </c>
      <c r="C20" s="341">
        <v>117.98699999999999</v>
      </c>
      <c r="D20" s="341">
        <v>216.84299999999999</v>
      </c>
      <c r="E20" s="341">
        <v>295.98500000000001</v>
      </c>
      <c r="F20" s="341">
        <v>346.25099999999998</v>
      </c>
      <c r="G20" s="341">
        <v>468.65699999999998</v>
      </c>
      <c r="H20" s="341">
        <v>641.05899999999997</v>
      </c>
      <c r="I20" s="341">
        <v>753.23199999999997</v>
      </c>
      <c r="J20" s="341">
        <v>765.3</v>
      </c>
      <c r="K20" s="341">
        <v>699.25800000000004</v>
      </c>
      <c r="L20" s="341">
        <v>854.33299999999997</v>
      </c>
      <c r="M20" s="341">
        <v>854.3</v>
      </c>
      <c r="N20" s="341">
        <v>854.3</v>
      </c>
      <c r="O20" s="341">
        <v>854.3</v>
      </c>
      <c r="P20" s="341">
        <v>854.3</v>
      </c>
      <c r="Q20" s="341">
        <v>854.3</v>
      </c>
      <c r="R20" s="341">
        <v>854.3</v>
      </c>
      <c r="S20" s="341">
        <v>854.3</v>
      </c>
      <c r="T20" s="341">
        <v>854.3</v>
      </c>
      <c r="U20" s="341">
        <v>854.3</v>
      </c>
      <c r="V20" s="96"/>
      <c r="W20" s="172">
        <f t="shared" si="4"/>
        <v>12847.604999999996</v>
      </c>
    </row>
    <row r="21" spans="1:45">
      <c r="A21" s="175" t="s">
        <v>168</v>
      </c>
      <c r="B21" s="179">
        <v>0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2"/>
      <c r="W21" s="172">
        <f t="shared" si="4"/>
        <v>0</v>
      </c>
    </row>
    <row r="22" spans="1:45">
      <c r="A22" s="175" t="s">
        <v>55</v>
      </c>
      <c r="B22" s="161">
        <f t="shared" ref="B22:U22" si="5">SUM(B16:B21)</f>
        <v>3765.6760505357156</v>
      </c>
      <c r="C22" s="161">
        <f t="shared" si="5"/>
        <v>3996.6333320517879</v>
      </c>
      <c r="D22" s="161">
        <f t="shared" si="5"/>
        <v>4211.8487220133411</v>
      </c>
      <c r="E22" s="161">
        <f t="shared" si="5"/>
        <v>4410.8408936737405</v>
      </c>
      <c r="F22" s="161">
        <f t="shared" si="5"/>
        <v>4584.5525704839529</v>
      </c>
      <c r="G22" s="161">
        <f t="shared" si="5"/>
        <v>4834.1076175984717</v>
      </c>
      <c r="H22" s="161">
        <f t="shared" si="5"/>
        <v>5137.4731361264267</v>
      </c>
      <c r="I22" s="161">
        <f t="shared" si="5"/>
        <v>5384.5385602102187</v>
      </c>
      <c r="J22" s="161">
        <f t="shared" si="5"/>
        <v>5535.5457570165263</v>
      </c>
      <c r="K22" s="161">
        <f t="shared" si="5"/>
        <v>5612.6111297270209</v>
      </c>
      <c r="L22" s="161">
        <f t="shared" si="5"/>
        <v>5915.0867236188315</v>
      </c>
      <c r="M22" s="161">
        <f t="shared" si="5"/>
        <v>6066.8763353273971</v>
      </c>
      <c r="N22" s="161">
        <f t="shared" si="5"/>
        <v>6223.2536253872195</v>
      </c>
      <c r="O22" s="161">
        <f t="shared" si="5"/>
        <v>6384.3222341488372</v>
      </c>
      <c r="P22" s="161">
        <f t="shared" si="5"/>
        <v>6550.2229011733016</v>
      </c>
      <c r="Q22" s="161">
        <f t="shared" si="5"/>
        <v>6721.1005882085001</v>
      </c>
      <c r="R22" s="161">
        <f t="shared" si="5"/>
        <v>6897.1046058547554</v>
      </c>
      <c r="S22" s="161">
        <f t="shared" si="5"/>
        <v>7078.3887440303979</v>
      </c>
      <c r="T22" s="161">
        <f t="shared" si="5"/>
        <v>7265.1114063513096</v>
      </c>
      <c r="U22" s="161">
        <f t="shared" si="5"/>
        <v>7457.4357485418486</v>
      </c>
      <c r="W22" s="172">
        <f t="shared" si="4"/>
        <v>114032.73068207959</v>
      </c>
    </row>
    <row r="23" spans="1:45">
      <c r="A23" s="183"/>
      <c r="B23" s="403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6">B13-B22</f>
        <v>30899.434782993754</v>
      </c>
      <c r="C25" s="168">
        <f t="shared" si="6"/>
        <v>32469.181311166336</v>
      </c>
      <c r="D25" s="168">
        <f t="shared" si="6"/>
        <v>34149.386864787732</v>
      </c>
      <c r="E25" s="168">
        <f t="shared" si="6"/>
        <v>35945.517046869412</v>
      </c>
      <c r="F25" s="168">
        <f t="shared" si="6"/>
        <v>37871.983559086526</v>
      </c>
      <c r="G25" s="168">
        <f t="shared" si="6"/>
        <v>38500.283462084706</v>
      </c>
      <c r="H25" s="168">
        <f t="shared" si="6"/>
        <v>39092.517706428007</v>
      </c>
      <c r="I25" s="168">
        <f t="shared" si="6"/>
        <v>39760.563029861332</v>
      </c>
      <c r="J25" s="168">
        <f t="shared" si="6"/>
        <v>40545.072719983669</v>
      </c>
      <c r="K25" s="168">
        <f t="shared" si="6"/>
        <v>41424.060669480037</v>
      </c>
      <c r="L25" s="168">
        <f t="shared" si="6"/>
        <v>41757.739548501224</v>
      </c>
      <c r="M25" s="168">
        <f t="shared" si="6"/>
        <v>42253.269866526629</v>
      </c>
      <c r="N25" s="168">
        <f t="shared" si="6"/>
        <v>42753.588336540386</v>
      </c>
      <c r="O25" s="168">
        <f t="shared" si="6"/>
        <v>43258.744225100672</v>
      </c>
      <c r="P25" s="168">
        <f t="shared" si="6"/>
        <v>43768.752210285464</v>
      </c>
      <c r="Q25" s="168">
        <f t="shared" si="6"/>
        <v>44393.809397209523</v>
      </c>
      <c r="R25" s="168">
        <f t="shared" si="6"/>
        <v>45026.82323209192</v>
      </c>
      <c r="S25" s="168">
        <f t="shared" si="6"/>
        <v>45667.86919186062</v>
      </c>
      <c r="T25" s="168">
        <f t="shared" si="6"/>
        <v>46317.022549810616</v>
      </c>
      <c r="U25" s="168">
        <f t="shared" si="6"/>
        <v>46974.358332179421</v>
      </c>
      <c r="V25" s="307"/>
      <c r="W25" s="172">
        <f>SUM(B25:U25)</f>
        <v>812829.97804284806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Depreciation!C21</f>
        <v>6399.222639133035</v>
      </c>
      <c r="C27" s="161">
        <f>Depreciation!D21</f>
        <v>6399.222639133035</v>
      </c>
      <c r="D27" s="161">
        <f>Depreciation!E21</f>
        <v>6399.222639133035</v>
      </c>
      <c r="E27" s="161">
        <f>Depreciation!F21</f>
        <v>6399.222639133035</v>
      </c>
      <c r="F27" s="161">
        <f>Depreciation!G21</f>
        <v>6399.222639133035</v>
      </c>
      <c r="G27" s="161">
        <f>Depreciation!H21</f>
        <v>6399.222639133035</v>
      </c>
      <c r="H27" s="161">
        <f>Depreciation!I21</f>
        <v>6399.222639133035</v>
      </c>
      <c r="I27" s="161">
        <f>Depreciation!J21</f>
        <v>6399.222639133035</v>
      </c>
      <c r="J27" s="161">
        <f>Depreciation!K21</f>
        <v>6399.222639133035</v>
      </c>
      <c r="K27" s="161">
        <f>Depreciation!L21</f>
        <v>6399.222639133035</v>
      </c>
      <c r="L27" s="161">
        <f>Depreciation!M21</f>
        <v>6399.222639133035</v>
      </c>
      <c r="M27" s="161">
        <f>Depreciation!N21</f>
        <v>6399.222639133035</v>
      </c>
      <c r="N27" s="161">
        <f>Depreciation!O21</f>
        <v>6399.222639133035</v>
      </c>
      <c r="O27" s="161">
        <f>Depreciation!P21</f>
        <v>6399.222639133035</v>
      </c>
      <c r="P27" s="161">
        <f>Depreciation!Q21</f>
        <v>6399.222639133035</v>
      </c>
      <c r="Q27" s="161">
        <f>Depreciation!R21</f>
        <v>6399.222639133035</v>
      </c>
      <c r="R27" s="161">
        <f>Depreciation!S21</f>
        <v>6399.222639133035</v>
      </c>
      <c r="S27" s="161">
        <f>Depreciation!T21</f>
        <v>6399.222639133035</v>
      </c>
      <c r="T27" s="161">
        <f>Depreciation!U21</f>
        <v>6399.222639133035</v>
      </c>
      <c r="U27" s="161">
        <f>Depreciation!V21</f>
        <v>6399.222639133035</v>
      </c>
      <c r="V27" s="96"/>
      <c r="W27" s="172">
        <f>SUM(B27:U27)</f>
        <v>127984.45278266068</v>
      </c>
      <c r="AB27" s="9"/>
      <c r="AC27" s="9"/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7">B25-B27</f>
        <v>24500.212143860721</v>
      </c>
      <c r="C29" s="344">
        <f t="shared" si="7"/>
        <v>26069.958672033303</v>
      </c>
      <c r="D29" s="344">
        <f t="shared" si="7"/>
        <v>27750.164225654698</v>
      </c>
      <c r="E29" s="344">
        <f t="shared" si="7"/>
        <v>29546.294407736379</v>
      </c>
      <c r="F29" s="344">
        <f t="shared" si="7"/>
        <v>31472.760919953493</v>
      </c>
      <c r="G29" s="344">
        <f t="shared" si="7"/>
        <v>32101.060822951673</v>
      </c>
      <c r="H29" s="344">
        <f t="shared" si="7"/>
        <v>32693.295067294974</v>
      </c>
      <c r="I29" s="344">
        <f t="shared" si="7"/>
        <v>33361.340390728299</v>
      </c>
      <c r="J29" s="344">
        <f t="shared" si="7"/>
        <v>34145.850080850636</v>
      </c>
      <c r="K29" s="344">
        <f t="shared" si="7"/>
        <v>35024.838030347004</v>
      </c>
      <c r="L29" s="344">
        <f t="shared" si="7"/>
        <v>35358.516909368191</v>
      </c>
      <c r="M29" s="344">
        <f t="shared" si="7"/>
        <v>35854.047227393596</v>
      </c>
      <c r="N29" s="344">
        <f t="shared" si="7"/>
        <v>36354.365697407353</v>
      </c>
      <c r="O29" s="344">
        <f t="shared" si="7"/>
        <v>36859.521585967639</v>
      </c>
      <c r="P29" s="344">
        <f t="shared" si="7"/>
        <v>37369.52957115243</v>
      </c>
      <c r="Q29" s="344">
        <f t="shared" si="7"/>
        <v>37994.58675807649</v>
      </c>
      <c r="R29" s="344">
        <f t="shared" si="7"/>
        <v>38627.600592958886</v>
      </c>
      <c r="S29" s="344">
        <f t="shared" si="7"/>
        <v>39268.646552727587</v>
      </c>
      <c r="T29" s="344">
        <f t="shared" si="7"/>
        <v>39917.799910677582</v>
      </c>
      <c r="U29" s="344">
        <f t="shared" si="7"/>
        <v>40575.135693046388</v>
      </c>
      <c r="V29" s="307"/>
      <c r="W29" s="172">
        <f>SUM(B29:U29)</f>
        <v>684845.52526018722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IS!B33*Allocation!$E$7</f>
        <v>11617.098648070658</v>
      </c>
      <c r="C31" s="161">
        <f>IS!C33*Allocation!$E$7</f>
        <v>11412.525258051081</v>
      </c>
      <c r="D31" s="161">
        <f>IS!D33*Allocation!$E$7</f>
        <v>11143.698008365103</v>
      </c>
      <c r="E31" s="161">
        <f>IS!E33*Allocation!$E$7</f>
        <v>10865.68661232631</v>
      </c>
      <c r="F31" s="161">
        <f>IS!F33*Allocation!$E$7</f>
        <v>10479.560680507819</v>
      </c>
      <c r="G31" s="161">
        <f>IS!G33*Allocation!$E$7</f>
        <v>10080.809380709814</v>
      </c>
      <c r="H31" s="161">
        <f>IS!H33*Allocation!$E$7</f>
        <v>9671.7610603921312</v>
      </c>
      <c r="I31" s="161">
        <f>IS!I33*Allocation!$E$7</f>
        <v>9273.194181278619</v>
      </c>
      <c r="J31" s="161">
        <f>IS!J33*Allocation!$E$7</f>
        <v>8803.7000952685739</v>
      </c>
      <c r="K31" s="161">
        <f>IS!K33*Allocation!$E$7</f>
        <v>8334.0256071618714</v>
      </c>
      <c r="L31" s="161">
        <f>IS!L33*Allocation!$E$7</f>
        <v>7831.8791965939417</v>
      </c>
      <c r="M31" s="161">
        <f>IS!M33*Allocation!$E$7</f>
        <v>7308.453099734329</v>
      </c>
      <c r="N31" s="161">
        <f>IS!N33*Allocation!$E$7</f>
        <v>6703.2632282080713</v>
      </c>
      <c r="O31" s="161">
        <f>IS!O33*Allocation!$E$7</f>
        <v>6071.8169312576574</v>
      </c>
      <c r="P31" s="161">
        <f>IS!P33*Allocation!$E$7</f>
        <v>5386.5875224783113</v>
      </c>
      <c r="Q31" s="161">
        <f>IS!Q33*Allocation!$E$7</f>
        <v>4654.0528963553934</v>
      </c>
      <c r="R31" s="161">
        <f>IS!R33*Allocation!$E$7</f>
        <v>3823.6776186186717</v>
      </c>
      <c r="S31" s="161">
        <f>IS!S33*Allocation!$E$7</f>
        <v>2929.2742032058845</v>
      </c>
      <c r="T31" s="161">
        <f>IS!T33*Allocation!$E$7</f>
        <v>1947.6156443511277</v>
      </c>
      <c r="U31" s="161">
        <f>IS!U33*Allocation!$E$7</f>
        <v>870.72679837194937</v>
      </c>
      <c r="V31" s="96"/>
      <c r="W31" s="172">
        <f>SUM(B31:U31)</f>
        <v>149209.40667130731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8">B29-B31</f>
        <v>12883.113495790063</v>
      </c>
      <c r="C33" s="344">
        <f t="shared" si="8"/>
        <v>14657.433413982222</v>
      </c>
      <c r="D33" s="344">
        <f t="shared" si="8"/>
        <v>16606.466217289595</v>
      </c>
      <c r="E33" s="344">
        <f t="shared" si="8"/>
        <v>18680.607795410069</v>
      </c>
      <c r="F33" s="344">
        <f t="shared" si="8"/>
        <v>20993.200239445672</v>
      </c>
      <c r="G33" s="344">
        <f t="shared" si="8"/>
        <v>22020.251442241861</v>
      </c>
      <c r="H33" s="344">
        <f t="shared" si="8"/>
        <v>23021.534006902843</v>
      </c>
      <c r="I33" s="344">
        <f t="shared" si="8"/>
        <v>24088.146209449682</v>
      </c>
      <c r="J33" s="344">
        <f t="shared" si="8"/>
        <v>25342.149985582062</v>
      </c>
      <c r="K33" s="344">
        <f t="shared" si="8"/>
        <v>26690.812423185133</v>
      </c>
      <c r="L33" s="344">
        <f t="shared" si="8"/>
        <v>27526.637712774249</v>
      </c>
      <c r="M33" s="344">
        <f t="shared" si="8"/>
        <v>28545.594127659268</v>
      </c>
      <c r="N33" s="344">
        <f t="shared" si="8"/>
        <v>29651.102469199282</v>
      </c>
      <c r="O33" s="344">
        <f t="shared" si="8"/>
        <v>30787.704654709982</v>
      </c>
      <c r="P33" s="344">
        <f t="shared" si="8"/>
        <v>31982.942048674118</v>
      </c>
      <c r="Q33" s="344">
        <f t="shared" si="8"/>
        <v>33340.533861721095</v>
      </c>
      <c r="R33" s="344">
        <f t="shared" si="8"/>
        <v>34803.922974340217</v>
      </c>
      <c r="S33" s="344">
        <f t="shared" si="8"/>
        <v>36339.372349521705</v>
      </c>
      <c r="T33" s="344">
        <f t="shared" si="8"/>
        <v>37970.184266326454</v>
      </c>
      <c r="U33" s="344">
        <f t="shared" si="8"/>
        <v>39704.408894674438</v>
      </c>
      <c r="V33" s="307"/>
      <c r="W33" s="172">
        <f>SUM(B33:U33)</f>
        <v>535636.11858887994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B33*-Assumptions!$D$38</f>
        <v>-579.74010731055284</v>
      </c>
      <c r="C35" s="161">
        <f>C33*-Assumptions!$D$38</f>
        <v>-659.58450362919996</v>
      </c>
      <c r="D35" s="161">
        <f>D33*-Assumptions!$D$38</f>
        <v>-747.29097977803178</v>
      </c>
      <c r="E35" s="161">
        <f>E33*-Assumptions!$D$38</f>
        <v>-840.62735079345305</v>
      </c>
      <c r="F35" s="161">
        <f>F33*-Assumptions!$D$38</f>
        <v>-944.69401077505518</v>
      </c>
      <c r="G35" s="161">
        <f>G33*-Assumptions!$D$38</f>
        <v>-990.91131490088367</v>
      </c>
      <c r="H35" s="161">
        <f>H33*-Assumptions!$D$38</f>
        <v>-1035.9690303106279</v>
      </c>
      <c r="I35" s="161">
        <f>I33*-Assumptions!$D$38</f>
        <v>-1083.9665794252358</v>
      </c>
      <c r="J35" s="161">
        <f>J33*-Assumptions!$D$38</f>
        <v>-1140.3967493511927</v>
      </c>
      <c r="K35" s="161">
        <f>K33*-Assumptions!$D$38</f>
        <v>-1201.0865590433309</v>
      </c>
      <c r="L35" s="161">
        <f>L33*-Assumptions!$D$38</f>
        <v>-1238.6986970748412</v>
      </c>
      <c r="M35" s="161">
        <f>M33*-Assumptions!$D$38</f>
        <v>-1284.551735744667</v>
      </c>
      <c r="N35" s="161">
        <f>N33*-Assumptions!$D$38</f>
        <v>-1334.2996111139676</v>
      </c>
      <c r="O35" s="161">
        <f>O33*-Assumptions!$D$38</f>
        <v>-1385.446709461949</v>
      </c>
      <c r="P35" s="161">
        <f>P33*-Assumptions!$D$38</f>
        <v>-1439.2323921903353</v>
      </c>
      <c r="Q35" s="161">
        <f>Q33*-Assumptions!$D$38</f>
        <v>-1500.3240237774492</v>
      </c>
      <c r="R35" s="161">
        <f>R33*-Assumptions!$D$38</f>
        <v>-1566.1765338453097</v>
      </c>
      <c r="S35" s="161">
        <f>S33*-Assumptions!$D$38</f>
        <v>-1635.2717557284766</v>
      </c>
      <c r="T35" s="161">
        <f>T33*-Assumptions!$D$38</f>
        <v>-1708.6582919846903</v>
      </c>
      <c r="U35" s="161">
        <f>U33*-Assumptions!$D$38</f>
        <v>-1786.6984002603497</v>
      </c>
      <c r="V35" s="96"/>
      <c r="W35" s="172">
        <f>SUM(B35:U35)</f>
        <v>-24103.625336499601</v>
      </c>
    </row>
    <row r="36" spans="1:23" s="307" customFormat="1">
      <c r="A36" s="175" t="s">
        <v>62</v>
      </c>
      <c r="B36" s="347">
        <f>(B33+B35)*-Assumptions!$D$37</f>
        <v>-4306.1806859678281</v>
      </c>
      <c r="C36" s="347">
        <f>(C33+C35)*-Assumptions!$D$37</f>
        <v>-4899.247118623558</v>
      </c>
      <c r="D36" s="347">
        <f>(D33+D35)*-Assumptions!$D$37</f>
        <v>-5550.7113331290466</v>
      </c>
      <c r="E36" s="347">
        <f>(E33+E35)*-Assumptions!$D$37</f>
        <v>-6243.9931556158153</v>
      </c>
      <c r="F36" s="347">
        <f>(F33+F35)*-Assumptions!$D$37</f>
        <v>-7016.9771800347153</v>
      </c>
      <c r="G36" s="347">
        <f>(G33+G35)*-Assumptions!$D$37</f>
        <v>-7360.2690445693415</v>
      </c>
      <c r="H36" s="347">
        <f>(H33+H35)*-Assumptions!$D$37</f>
        <v>-7694.9477418072738</v>
      </c>
      <c r="I36" s="347">
        <f>(I33+I35)*-Assumptions!$D$37</f>
        <v>-8051.4628705085552</v>
      </c>
      <c r="J36" s="347">
        <f>(J33+J35)*-Assumptions!$D$37</f>
        <v>-8470.6136326808046</v>
      </c>
      <c r="K36" s="347">
        <f>(K33+K35)*-Assumptions!$D$37</f>
        <v>-8921.4040524496304</v>
      </c>
      <c r="L36" s="347">
        <f>(L33+L35)*-Assumptions!$D$37</f>
        <v>-9200.7786554947925</v>
      </c>
      <c r="M36" s="347">
        <f>(M33+M35)*-Assumptions!$D$37</f>
        <v>-9541.3648371701092</v>
      </c>
      <c r="N36" s="347">
        <f>(N33+N35)*-Assumptions!$D$37</f>
        <v>-9910.8810003298586</v>
      </c>
      <c r="O36" s="347">
        <f>(O33+O35)*-Assumptions!$D$37</f>
        <v>-10290.790280836811</v>
      </c>
      <c r="P36" s="347">
        <f>(P33+P35)*-Assumptions!$D$37</f>
        <v>-10690.298379769323</v>
      </c>
      <c r="Q36" s="347">
        <f>(Q33+Q35)*-Assumptions!$D$37</f>
        <v>-11144.073443280276</v>
      </c>
      <c r="R36" s="347">
        <f>(R33+R35)*-Assumptions!$D$37</f>
        <v>-11633.211254173217</v>
      </c>
      <c r="S36" s="347">
        <f>(S33+S35)*-Assumptions!$D$37</f>
        <v>-12146.43520782763</v>
      </c>
      <c r="T36" s="347">
        <f>(T33+T35)*-Assumptions!$D$37</f>
        <v>-12691.534091019616</v>
      </c>
      <c r="U36" s="347">
        <f>(U33+U35)*-Assumptions!$D$37</f>
        <v>-13271.19867304493</v>
      </c>
      <c r="V36" s="96"/>
      <c r="W36" s="172">
        <f>SUM(B36:U36)</f>
        <v>-179036.37263833315</v>
      </c>
    </row>
    <row r="37" spans="1:23">
      <c r="B37" s="161"/>
      <c r="C37" s="172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9">SUM(B33:B36)</f>
        <v>7997.1927025116829</v>
      </c>
      <c r="C38" s="348">
        <f t="shared" si="9"/>
        <v>9098.6017917294648</v>
      </c>
      <c r="D38" s="348">
        <f t="shared" si="9"/>
        <v>10308.463904382515</v>
      </c>
      <c r="E38" s="348">
        <f t="shared" si="9"/>
        <v>11595.987289000801</v>
      </c>
      <c r="F38" s="348">
        <f t="shared" si="9"/>
        <v>13031.529048635901</v>
      </c>
      <c r="G38" s="348">
        <f t="shared" si="9"/>
        <v>13669.071082771636</v>
      </c>
      <c r="H38" s="348">
        <f t="shared" si="9"/>
        <v>14290.617234784939</v>
      </c>
      <c r="I38" s="348">
        <f t="shared" si="9"/>
        <v>14952.71675951589</v>
      </c>
      <c r="J38" s="348">
        <f t="shared" si="9"/>
        <v>15731.139603550066</v>
      </c>
      <c r="K38" s="348">
        <f t="shared" si="9"/>
        <v>16568.321811692171</v>
      </c>
      <c r="L38" s="348">
        <f t="shared" si="9"/>
        <v>17087.160360204616</v>
      </c>
      <c r="M38" s="348">
        <f t="shared" si="9"/>
        <v>17719.677554744492</v>
      </c>
      <c r="N38" s="348">
        <f t="shared" si="9"/>
        <v>18405.921857755457</v>
      </c>
      <c r="O38" s="348">
        <f t="shared" si="9"/>
        <v>19111.467664411219</v>
      </c>
      <c r="P38" s="348">
        <f t="shared" si="9"/>
        <v>19853.411276714462</v>
      </c>
      <c r="Q38" s="348">
        <f t="shared" si="9"/>
        <v>20696.136394663372</v>
      </c>
      <c r="R38" s="348">
        <f t="shared" si="9"/>
        <v>21604.535186321689</v>
      </c>
      <c r="S38" s="348">
        <f t="shared" si="9"/>
        <v>22557.6653859656</v>
      </c>
      <c r="T38" s="348">
        <f t="shared" si="9"/>
        <v>23569.991883322145</v>
      </c>
      <c r="U38" s="348">
        <f t="shared" si="9"/>
        <v>24646.51182136916</v>
      </c>
      <c r="V38" s="349"/>
      <c r="W38" s="172">
        <f>SUM(B38:U38)</f>
        <v>332496.12061404722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79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0">B46+1</f>
        <v>2002</v>
      </c>
      <c r="D46" s="163">
        <f t="shared" si="10"/>
        <v>2003</v>
      </c>
      <c r="E46" s="163">
        <f>D46+1</f>
        <v>2004</v>
      </c>
      <c r="F46" s="163">
        <f t="shared" si="10"/>
        <v>2005</v>
      </c>
      <c r="G46" s="163">
        <f t="shared" si="10"/>
        <v>2006</v>
      </c>
      <c r="H46" s="163">
        <f t="shared" si="10"/>
        <v>2007</v>
      </c>
      <c r="I46" s="163">
        <f t="shared" si="10"/>
        <v>2008</v>
      </c>
      <c r="J46" s="163">
        <f t="shared" si="10"/>
        <v>2009</v>
      </c>
      <c r="K46" s="163">
        <f>J46+1</f>
        <v>2010</v>
      </c>
      <c r="L46" s="163">
        <f t="shared" si="10"/>
        <v>2011</v>
      </c>
      <c r="M46" s="163">
        <f t="shared" si="10"/>
        <v>2012</v>
      </c>
      <c r="N46" s="163">
        <f t="shared" si="10"/>
        <v>2013</v>
      </c>
      <c r="O46" s="163">
        <f t="shared" si="10"/>
        <v>2014</v>
      </c>
      <c r="P46" s="163">
        <f t="shared" si="10"/>
        <v>2015</v>
      </c>
      <c r="Q46" s="163">
        <f t="shared" si="10"/>
        <v>2016</v>
      </c>
      <c r="R46" s="163">
        <f t="shared" si="10"/>
        <v>2017</v>
      </c>
      <c r="S46" s="163">
        <f t="shared" si="10"/>
        <v>2018</v>
      </c>
      <c r="T46" s="163">
        <f t="shared" si="10"/>
        <v>2019</v>
      </c>
      <c r="U46" s="163">
        <f t="shared" si="10"/>
        <v>2020</v>
      </c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04">
        <f t="shared" ref="B48:U48" si="11">B25</f>
        <v>30899.434782993754</v>
      </c>
      <c r="C48" s="204">
        <f t="shared" si="11"/>
        <v>32469.181311166336</v>
      </c>
      <c r="D48" s="204">
        <f t="shared" si="11"/>
        <v>34149.386864787732</v>
      </c>
      <c r="E48" s="204">
        <f t="shared" si="11"/>
        <v>35945.517046869412</v>
      </c>
      <c r="F48" s="204">
        <f t="shared" si="11"/>
        <v>37871.983559086526</v>
      </c>
      <c r="G48" s="204">
        <f t="shared" si="11"/>
        <v>38500.283462084706</v>
      </c>
      <c r="H48" s="204">
        <f t="shared" si="11"/>
        <v>39092.517706428007</v>
      </c>
      <c r="I48" s="204">
        <f t="shared" si="11"/>
        <v>39760.563029861332</v>
      </c>
      <c r="J48" s="204">
        <f t="shared" si="11"/>
        <v>40545.072719983669</v>
      </c>
      <c r="K48" s="204">
        <f t="shared" si="11"/>
        <v>41424.060669480037</v>
      </c>
      <c r="L48" s="204">
        <f t="shared" si="11"/>
        <v>41757.739548501224</v>
      </c>
      <c r="M48" s="204">
        <f t="shared" si="11"/>
        <v>42253.269866526629</v>
      </c>
      <c r="N48" s="204">
        <f t="shared" si="11"/>
        <v>42753.588336540386</v>
      </c>
      <c r="O48" s="204">
        <f t="shared" si="11"/>
        <v>43258.744225100672</v>
      </c>
      <c r="P48" s="204">
        <f t="shared" si="11"/>
        <v>43768.752210285464</v>
      </c>
      <c r="Q48" s="204">
        <f t="shared" si="11"/>
        <v>44393.809397209523</v>
      </c>
      <c r="R48" s="204">
        <f t="shared" si="11"/>
        <v>45026.82323209192</v>
      </c>
      <c r="S48" s="204">
        <f t="shared" si="11"/>
        <v>45667.86919186062</v>
      </c>
      <c r="T48" s="204">
        <f t="shared" si="11"/>
        <v>46317.022549810616</v>
      </c>
      <c r="U48" s="204">
        <f t="shared" si="11"/>
        <v>46974.358332179421</v>
      </c>
      <c r="W48" s="177">
        <f>SUM(B48:U48)</f>
        <v>812829.97804284806</v>
      </c>
    </row>
    <row r="49" spans="1:45">
      <c r="A49" s="266" t="s">
        <v>153</v>
      </c>
      <c r="B49" s="268">
        <f>B20</f>
        <v>0</v>
      </c>
      <c r="C49" s="268">
        <f t="shared" ref="C49:U49" si="12">C20</f>
        <v>117.98699999999999</v>
      </c>
      <c r="D49" s="268">
        <f t="shared" si="12"/>
        <v>216.84299999999999</v>
      </c>
      <c r="E49" s="268">
        <f t="shared" si="12"/>
        <v>295.98500000000001</v>
      </c>
      <c r="F49" s="268">
        <f t="shared" si="12"/>
        <v>346.25099999999998</v>
      </c>
      <c r="G49" s="268">
        <f t="shared" si="12"/>
        <v>468.65699999999998</v>
      </c>
      <c r="H49" s="268">
        <f t="shared" si="12"/>
        <v>641.05899999999997</v>
      </c>
      <c r="I49" s="268">
        <f t="shared" si="12"/>
        <v>753.23199999999997</v>
      </c>
      <c r="J49" s="268">
        <f t="shared" si="12"/>
        <v>765.3</v>
      </c>
      <c r="K49" s="268">
        <f t="shared" si="12"/>
        <v>699.25800000000004</v>
      </c>
      <c r="L49" s="268">
        <f t="shared" si="12"/>
        <v>854.33299999999997</v>
      </c>
      <c r="M49" s="268">
        <f t="shared" si="12"/>
        <v>854.3</v>
      </c>
      <c r="N49" s="268">
        <f t="shared" si="12"/>
        <v>854.3</v>
      </c>
      <c r="O49" s="268">
        <f t="shared" si="12"/>
        <v>854.3</v>
      </c>
      <c r="P49" s="268">
        <f t="shared" si="12"/>
        <v>854.3</v>
      </c>
      <c r="Q49" s="268">
        <f t="shared" si="12"/>
        <v>854.3</v>
      </c>
      <c r="R49" s="268">
        <f t="shared" si="12"/>
        <v>854.3</v>
      </c>
      <c r="S49" s="268">
        <f t="shared" si="12"/>
        <v>854.3</v>
      </c>
      <c r="T49" s="268">
        <f t="shared" si="12"/>
        <v>854.3</v>
      </c>
      <c r="U49" s="268">
        <f t="shared" si="12"/>
        <v>854.3</v>
      </c>
      <c r="W49" s="177">
        <f>SUM(B49:U49)</f>
        <v>12847.604999999996</v>
      </c>
    </row>
    <row r="50" spans="1:45">
      <c r="A50" s="266" t="s">
        <v>154</v>
      </c>
      <c r="B50" s="353">
        <v>-203.273</v>
      </c>
      <c r="C50" s="268">
        <f>-B49</f>
        <v>0</v>
      </c>
      <c r="D50" s="268">
        <f t="shared" ref="D50:U50" si="13">-C49</f>
        <v>-117.98699999999999</v>
      </c>
      <c r="E50" s="268">
        <f t="shared" si="13"/>
        <v>-216.84299999999999</v>
      </c>
      <c r="F50" s="268">
        <f t="shared" si="13"/>
        <v>-295.98500000000001</v>
      </c>
      <c r="G50" s="268">
        <f t="shared" si="13"/>
        <v>-346.25099999999998</v>
      </c>
      <c r="H50" s="268">
        <f t="shared" si="13"/>
        <v>-468.65699999999998</v>
      </c>
      <c r="I50" s="268">
        <f t="shared" si="13"/>
        <v>-641.05899999999997</v>
      </c>
      <c r="J50" s="268">
        <f t="shared" si="13"/>
        <v>-753.23199999999997</v>
      </c>
      <c r="K50" s="268">
        <f t="shared" si="13"/>
        <v>-765.3</v>
      </c>
      <c r="L50" s="268">
        <f t="shared" si="13"/>
        <v>-699.25800000000004</v>
      </c>
      <c r="M50" s="268">
        <f t="shared" si="13"/>
        <v>-854.33299999999997</v>
      </c>
      <c r="N50" s="268">
        <f t="shared" si="13"/>
        <v>-854.3</v>
      </c>
      <c r="O50" s="268">
        <f t="shared" si="13"/>
        <v>-854.3</v>
      </c>
      <c r="P50" s="268">
        <f t="shared" si="13"/>
        <v>-854.3</v>
      </c>
      <c r="Q50" s="268">
        <f t="shared" si="13"/>
        <v>-854.3</v>
      </c>
      <c r="R50" s="268">
        <f t="shared" si="13"/>
        <v>-854.3</v>
      </c>
      <c r="S50" s="268">
        <f t="shared" si="13"/>
        <v>-854.3</v>
      </c>
      <c r="T50" s="268">
        <f t="shared" si="13"/>
        <v>-854.3</v>
      </c>
      <c r="U50" s="268">
        <f t="shared" si="13"/>
        <v>-854.3</v>
      </c>
      <c r="W50" s="177">
        <f>SUM(B50:U50)</f>
        <v>-12196.577999999996</v>
      </c>
    </row>
    <row r="51" spans="1:45">
      <c r="A51" s="266" t="s">
        <v>64</v>
      </c>
      <c r="B51" s="354">
        <f>-Debt!B77*Allocation!$E$7</f>
        <v>-13699.579004021089</v>
      </c>
      <c r="C51" s="354">
        <f>-Debt!C77*Allocation!$E$7</f>
        <v>-13774.03075973343</v>
      </c>
      <c r="D51" s="354">
        <f>-Debt!D77*Allocation!$E$7</f>
        <v>-13838.672586653893</v>
      </c>
      <c r="E51" s="354">
        <f>-Debt!E77*Allocation!$E$7</f>
        <v>-13982.60165489264</v>
      </c>
      <c r="F51" s="354">
        <f>-Debt!F77*Allocation!$E$7</f>
        <v>-14086.471100944838</v>
      </c>
      <c r="G51" s="354">
        <f>-Debt!G77*Allocation!$E$7</f>
        <v>-13769.385697458614</v>
      </c>
      <c r="H51" s="354">
        <f>-Debt!H77*Allocation!$E$7</f>
        <v>-13489.641712967916</v>
      </c>
      <c r="I51" s="354">
        <f>-Debt!I77*Allocation!$E$7</f>
        <v>-13254.406626477972</v>
      </c>
      <c r="J51" s="354">
        <f>-Debt!J77*Allocation!$E$7</f>
        <v>-13009.493755325326</v>
      </c>
      <c r="K51" s="354">
        <f>-Debt!K77*Allocation!$E$7</f>
        <v>-12805.233430231912</v>
      </c>
      <c r="L51" s="354">
        <f>-Debt!L77*Allocation!$E$7</f>
        <v>-12600.76560314894</v>
      </c>
      <c r="M51" s="354">
        <f>-Debt!M77*Allocation!$E$7</f>
        <v>-12433.226551554626</v>
      </c>
      <c r="N51" s="354">
        <f>-Debt!N77*Allocation!$E$7</f>
        <v>-12226.630170725501</v>
      </c>
      <c r="O51" s="354">
        <f>-Debt!O77*Allocation!$E$7</f>
        <v>-12064.954773525282</v>
      </c>
      <c r="P51" s="354">
        <f>-Debt!P77*Allocation!$E$7</f>
        <v>-11892.202709927966</v>
      </c>
      <c r="Q51" s="354">
        <f>-Debt!Q77*Allocation!$E$7</f>
        <v>-11786.029283471975</v>
      </c>
      <c r="R51" s="354">
        <f>-Debt!R77*Allocation!$E$7</f>
        <v>-11624.721650834013</v>
      </c>
      <c r="S51" s="354">
        <f>-Debt!S77*Allocation!$E$7</f>
        <v>-11484.798771383659</v>
      </c>
      <c r="T51" s="354">
        <f>-Debt!T77*Allocation!$E$7</f>
        <v>-11357.269121165618</v>
      </c>
      <c r="U51" s="354">
        <f>-Debt!U77*Allocation!$E$7</f>
        <v>-11234.157556497441</v>
      </c>
      <c r="W51" s="177">
        <f>SUM(B51:U51)</f>
        <v>-254414.27252094261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404">
        <f t="shared" ref="B53:U53" si="14">SUM(B48:B51)</f>
        <v>16996.582778972665</v>
      </c>
      <c r="C53" s="404">
        <f t="shared" si="14"/>
        <v>18813.137551432905</v>
      </c>
      <c r="D53" s="404">
        <f t="shared" si="14"/>
        <v>20409.57027813384</v>
      </c>
      <c r="E53" s="404">
        <f t="shared" si="14"/>
        <v>22042.05739197677</v>
      </c>
      <c r="F53" s="404">
        <f t="shared" si="14"/>
        <v>23835.778458141685</v>
      </c>
      <c r="G53" s="404">
        <f t="shared" si="14"/>
        <v>24853.303764626093</v>
      </c>
      <c r="H53" s="404">
        <f t="shared" si="14"/>
        <v>25775.277993460091</v>
      </c>
      <c r="I53" s="404">
        <f t="shared" si="14"/>
        <v>26618.329403383355</v>
      </c>
      <c r="J53" s="404">
        <f t="shared" si="14"/>
        <v>27547.646964658343</v>
      </c>
      <c r="K53" s="404">
        <f t="shared" si="14"/>
        <v>28552.785239248122</v>
      </c>
      <c r="L53" s="404">
        <f t="shared" si="14"/>
        <v>29312.048945352282</v>
      </c>
      <c r="M53" s="404">
        <f t="shared" si="14"/>
        <v>29820.010314972009</v>
      </c>
      <c r="N53" s="404">
        <f t="shared" si="14"/>
        <v>30526.958165814885</v>
      </c>
      <c r="O53" s="404">
        <f t="shared" si="14"/>
        <v>31193.789451575391</v>
      </c>
      <c r="P53" s="404">
        <f t="shared" si="14"/>
        <v>31876.549500357498</v>
      </c>
      <c r="Q53" s="404">
        <f t="shared" si="14"/>
        <v>32607.78011373755</v>
      </c>
      <c r="R53" s="404">
        <f t="shared" si="14"/>
        <v>33402.101581257906</v>
      </c>
      <c r="S53" s="404">
        <f t="shared" si="14"/>
        <v>34183.070420476957</v>
      </c>
      <c r="T53" s="404">
        <f t="shared" si="14"/>
        <v>34959.753428644995</v>
      </c>
      <c r="U53" s="404">
        <f t="shared" si="14"/>
        <v>35740.20077568198</v>
      </c>
      <c r="V53" s="307"/>
      <c r="W53" s="177">
        <f>SUM(B53:U53)</f>
        <v>559066.73252190533</v>
      </c>
    </row>
    <row r="54" spans="1:45">
      <c r="A54" s="262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W54" s="259"/>
    </row>
    <row r="55" spans="1:45" ht="15">
      <c r="A55" s="266" t="s">
        <v>88</v>
      </c>
      <c r="B55" s="392">
        <f>-B100</f>
        <v>-825.78928699342396</v>
      </c>
      <c r="C55" s="392">
        <f t="shared" ref="C55:U55" si="15">-C100</f>
        <v>-534.01303238912465</v>
      </c>
      <c r="D55" s="392">
        <f t="shared" si="15"/>
        <v>-779.17554645805308</v>
      </c>
      <c r="E55" s="392">
        <f t="shared" si="15"/>
        <v>-1024.6228197785165</v>
      </c>
      <c r="F55" s="392">
        <f t="shared" si="15"/>
        <v>-1281.2286443393159</v>
      </c>
      <c r="G55" s="392">
        <f t="shared" si="15"/>
        <v>-1429.5575270711115</v>
      </c>
      <c r="H55" s="392">
        <f t="shared" si="15"/>
        <v>-1540.3350017430375</v>
      </c>
      <c r="I55" s="392">
        <f t="shared" si="15"/>
        <v>-1623.6374823483679</v>
      </c>
      <c r="J55" s="392">
        <f t="shared" si="15"/>
        <v>-1723.663664058696</v>
      </c>
      <c r="K55" s="392">
        <f t="shared" si="15"/>
        <v>-1829.2481132334685</v>
      </c>
      <c r="L55" s="392">
        <f t="shared" si="15"/>
        <v>-1896.2381945068787</v>
      </c>
      <c r="M55" s="392">
        <f t="shared" si="15"/>
        <v>-1975.7758678869254</v>
      </c>
      <c r="N55" s="392">
        <f t="shared" si="15"/>
        <v>-2064.0709102644564</v>
      </c>
      <c r="O55" s="392">
        <f t="shared" si="15"/>
        <v>-2152.9025995239317</v>
      </c>
      <c r="P55" s="392">
        <f t="shared" si="15"/>
        <v>-2248.2862370429684</v>
      </c>
      <c r="Q55" s="392">
        <f t="shared" si="15"/>
        <v>-2638.7015920553158</v>
      </c>
      <c r="R55" s="392">
        <f t="shared" si="15"/>
        <v>-3037.4749337338635</v>
      </c>
      <c r="S55" s="392">
        <f t="shared" si="15"/>
        <v>-3158.7754343732013</v>
      </c>
      <c r="T55" s="392">
        <f t="shared" si="15"/>
        <v>-3287.6095758007764</v>
      </c>
      <c r="U55" s="392">
        <f t="shared" si="15"/>
        <v>-3424.6133214402671</v>
      </c>
      <c r="W55" s="177">
        <f>SUM(B55:U55)</f>
        <v>-38475.719785041707</v>
      </c>
      <c r="X55" s="5"/>
      <c r="Y55" s="5"/>
      <c r="Z55" s="5"/>
      <c r="AA55" s="5"/>
      <c r="AB55" s="9"/>
      <c r="AC55" s="9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-Allocation!$E$7*Tax!B24</f>
        <v>-2390.7944163551792</v>
      </c>
      <c r="C56" s="356">
        <f>-Allocation!$E$7*Tax!C24</f>
        <v>0</v>
      </c>
      <c r="D56" s="356">
        <f>-Allocation!$E$7*Tax!D24</f>
        <v>-192.48439070516542</v>
      </c>
      <c r="E56" s="356">
        <f>-Allocation!$E$7*Tax!E24</f>
        <v>-2156.4225544911133</v>
      </c>
      <c r="F56" s="356">
        <f>-Allocation!$E$7*Tax!F24</f>
        <v>-3440.3939221527748</v>
      </c>
      <c r="G56" s="356">
        <f>-Allocation!$E$7*Tax!G24</f>
        <v>-4311.7405280539415</v>
      </c>
      <c r="H56" s="356">
        <f>-Allocation!$E$7*Tax!H24</f>
        <v>-4905.8396253068313</v>
      </c>
      <c r="I56" s="356">
        <f>-Allocation!$E$7*Tax!I24</f>
        <v>-5240.3149219648958</v>
      </c>
      <c r="J56" s="356">
        <f>-Allocation!$E$7*Tax!J24</f>
        <v>-5627.2205481756619</v>
      </c>
      <c r="K56" s="356">
        <f>-Allocation!$E$7*Tax!K24</f>
        <v>-6010.1538007764348</v>
      </c>
      <c r="L56" s="356">
        <f>-Allocation!$E$7*Tax!L24</f>
        <v>-6392.9406349120318</v>
      </c>
      <c r="M56" s="356">
        <f>-Allocation!$E$7*Tax!M24</f>
        <v>-6785.9873709094481</v>
      </c>
      <c r="N56" s="356">
        <f>-Allocation!$E$7*Tax!N24</f>
        <v>-7190.0420657760342</v>
      </c>
      <c r="O56" s="356">
        <f>-Allocation!$E$7*Tax!O24</f>
        <v>-7625.8636360603505</v>
      </c>
      <c r="P56" s="356">
        <f>-Allocation!$E$7*Tax!P24</f>
        <v>-8054.9583757257869</v>
      </c>
      <c r="Q56" s="356">
        <f>-Allocation!$E$7*Tax!Q24</f>
        <v>-10865.133741790945</v>
      </c>
      <c r="R56" s="356">
        <f>-Allocation!$E$7*Tax!R24</f>
        <v>-13651.646022249366</v>
      </c>
      <c r="S56" s="356">
        <f>-Allocation!$E$7*Tax!S24</f>
        <v>-14154.264314949642</v>
      </c>
      <c r="T56" s="356">
        <f>-Allocation!$E$7*Tax!T24</f>
        <v>-14687.953260516681</v>
      </c>
      <c r="U56" s="356">
        <f>-Allocation!$E$7*Tax!U24</f>
        <v>-15255.33417493964</v>
      </c>
      <c r="W56" s="177">
        <f>SUM(B56:U56)</f>
        <v>-138939.48830581192</v>
      </c>
      <c r="X56" s="5"/>
      <c r="Y56" s="5"/>
      <c r="Z56" s="5"/>
      <c r="AA56" s="5"/>
      <c r="AB56" s="9"/>
      <c r="AC56" s="9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>
      <c r="A57" s="266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05"/>
      <c r="O57" s="405"/>
      <c r="P57" s="405"/>
      <c r="Q57" s="405"/>
      <c r="R57" s="405"/>
      <c r="S57" s="405"/>
      <c r="T57" s="405"/>
      <c r="U57" s="405"/>
      <c r="W57" s="259"/>
    </row>
    <row r="58" spans="1:45" ht="15.75">
      <c r="A58" s="374" t="s">
        <v>66</v>
      </c>
      <c r="B58" s="358">
        <f t="shared" ref="B58:U58" si="16">B53+B56+B55</f>
        <v>13779.99907562406</v>
      </c>
      <c r="C58" s="358">
        <f t="shared" si="16"/>
        <v>18279.12451904378</v>
      </c>
      <c r="D58" s="358">
        <f t="shared" si="16"/>
        <v>19437.910340970622</v>
      </c>
      <c r="E58" s="358">
        <f t="shared" si="16"/>
        <v>18861.01201770714</v>
      </c>
      <c r="F58" s="358">
        <f t="shared" si="16"/>
        <v>19114.155891649592</v>
      </c>
      <c r="G58" s="358">
        <f t="shared" si="16"/>
        <v>19112.005709501038</v>
      </c>
      <c r="H58" s="358">
        <f t="shared" si="16"/>
        <v>19329.103366410221</v>
      </c>
      <c r="I58" s="358">
        <f t="shared" si="16"/>
        <v>19754.376999070093</v>
      </c>
      <c r="J58" s="358">
        <f t="shared" si="16"/>
        <v>20196.762752423987</v>
      </c>
      <c r="K58" s="358">
        <f t="shared" si="16"/>
        <v>20713.383325238217</v>
      </c>
      <c r="L58" s="358">
        <f t="shared" si="16"/>
        <v>21022.870115933372</v>
      </c>
      <c r="M58" s="358">
        <f t="shared" si="16"/>
        <v>21058.247076175638</v>
      </c>
      <c r="N58" s="358">
        <f t="shared" si="16"/>
        <v>21272.845189774394</v>
      </c>
      <c r="O58" s="358">
        <f t="shared" si="16"/>
        <v>21415.023215991107</v>
      </c>
      <c r="P58" s="358">
        <f t="shared" si="16"/>
        <v>21573.304887588743</v>
      </c>
      <c r="Q58" s="358">
        <f t="shared" si="16"/>
        <v>19103.944779891288</v>
      </c>
      <c r="R58" s="358">
        <f t="shared" si="16"/>
        <v>16712.980625274678</v>
      </c>
      <c r="S58" s="358">
        <f t="shared" si="16"/>
        <v>16870.030671154112</v>
      </c>
      <c r="T58" s="358">
        <f t="shared" si="16"/>
        <v>16984.190592327537</v>
      </c>
      <c r="U58" s="358">
        <f t="shared" si="16"/>
        <v>17060.253279302073</v>
      </c>
      <c r="V58" s="349"/>
      <c r="W58" s="177">
        <f>SUM(B58:U58)</f>
        <v>381651.52443105174</v>
      </c>
    </row>
    <row r="59" spans="1:45" s="307" customFormat="1">
      <c r="A59" s="96"/>
      <c r="B59" s="376"/>
      <c r="C59" s="376"/>
      <c r="D59" s="376"/>
      <c r="E59" s="376"/>
      <c r="F59" s="376"/>
      <c r="G59" s="376"/>
      <c r="H59" s="376"/>
      <c r="I59" s="376"/>
      <c r="J59" s="376"/>
      <c r="K59" s="376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96"/>
      <c r="W59" s="96"/>
    </row>
    <row r="60" spans="1:45" ht="15">
      <c r="A60" s="379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7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A67" s="315" t="s">
        <v>164</v>
      </c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45">
      <c r="A68" s="256"/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45">
      <c r="A69" s="315" t="s">
        <v>80</v>
      </c>
      <c r="B69" s="4"/>
      <c r="C69" s="4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</row>
    <row r="70" spans="1:45">
      <c r="A70" s="38" t="s">
        <v>233</v>
      </c>
      <c r="B70" s="12">
        <f t="shared" ref="B70:U70" si="17">B33</f>
        <v>12883.113495790063</v>
      </c>
      <c r="C70" s="12">
        <f t="shared" si="17"/>
        <v>14657.433413982222</v>
      </c>
      <c r="D70" s="12">
        <f t="shared" si="17"/>
        <v>16606.466217289595</v>
      </c>
      <c r="E70" s="12">
        <f t="shared" si="17"/>
        <v>18680.607795410069</v>
      </c>
      <c r="F70" s="12">
        <f t="shared" si="17"/>
        <v>20993.200239445672</v>
      </c>
      <c r="G70" s="12">
        <f t="shared" si="17"/>
        <v>22020.251442241861</v>
      </c>
      <c r="H70" s="12">
        <f t="shared" si="17"/>
        <v>23021.534006902843</v>
      </c>
      <c r="I70" s="12">
        <f t="shared" si="17"/>
        <v>24088.146209449682</v>
      </c>
      <c r="J70" s="12">
        <f t="shared" si="17"/>
        <v>25342.149985582062</v>
      </c>
      <c r="K70" s="12">
        <f t="shared" si="17"/>
        <v>26690.812423185133</v>
      </c>
      <c r="L70" s="12">
        <f t="shared" si="17"/>
        <v>27526.637712774249</v>
      </c>
      <c r="M70" s="12">
        <f t="shared" si="17"/>
        <v>28545.594127659268</v>
      </c>
      <c r="N70" s="12">
        <f t="shared" si="17"/>
        <v>29651.102469199282</v>
      </c>
      <c r="O70" s="12">
        <f t="shared" si="17"/>
        <v>30787.704654709982</v>
      </c>
      <c r="P70" s="12">
        <f t="shared" si="17"/>
        <v>31982.942048674118</v>
      </c>
      <c r="Q70" s="12">
        <f t="shared" si="17"/>
        <v>33340.533861721095</v>
      </c>
      <c r="R70" s="12">
        <f t="shared" si="17"/>
        <v>34803.922974340217</v>
      </c>
      <c r="S70" s="12">
        <f t="shared" si="17"/>
        <v>36339.372349521705</v>
      </c>
      <c r="T70" s="12">
        <f t="shared" si="17"/>
        <v>37970.184266326454</v>
      </c>
      <c r="U70" s="12">
        <f t="shared" si="17"/>
        <v>39704.408894674438</v>
      </c>
      <c r="V70" s="397"/>
      <c r="W70" s="397"/>
    </row>
    <row r="71" spans="1:45">
      <c r="A71" s="38" t="s">
        <v>156</v>
      </c>
      <c r="B71" s="398">
        <f>Assumptions!$D$39</f>
        <v>3.4000000000000002E-2</v>
      </c>
      <c r="C71" s="398">
        <f>Assumptions!$D$39</f>
        <v>3.4000000000000002E-2</v>
      </c>
      <c r="D71" s="398">
        <f>Assumptions!$D$39</f>
        <v>3.4000000000000002E-2</v>
      </c>
      <c r="E71" s="398">
        <f>Assumptions!$D$39</f>
        <v>3.4000000000000002E-2</v>
      </c>
      <c r="F71" s="398">
        <f>Assumptions!$D$39</f>
        <v>3.4000000000000002E-2</v>
      </c>
      <c r="G71" s="398">
        <f>Assumptions!$D$39</f>
        <v>3.4000000000000002E-2</v>
      </c>
      <c r="H71" s="398">
        <f>Assumptions!$D$39</f>
        <v>3.4000000000000002E-2</v>
      </c>
      <c r="I71" s="398">
        <f>Assumptions!$D$39</f>
        <v>3.4000000000000002E-2</v>
      </c>
      <c r="J71" s="398">
        <f>Assumptions!$D$39</f>
        <v>3.4000000000000002E-2</v>
      </c>
      <c r="K71" s="398">
        <f>Assumptions!$D$39</f>
        <v>3.4000000000000002E-2</v>
      </c>
      <c r="L71" s="398">
        <f>Assumptions!$D$39</f>
        <v>3.4000000000000002E-2</v>
      </c>
      <c r="M71" s="398">
        <f>Assumptions!$D$39</f>
        <v>3.4000000000000002E-2</v>
      </c>
      <c r="N71" s="398">
        <f>Assumptions!$D$39</f>
        <v>3.4000000000000002E-2</v>
      </c>
      <c r="O71" s="398">
        <f>Assumptions!$D$39</f>
        <v>3.4000000000000002E-2</v>
      </c>
      <c r="P71" s="398">
        <f>Assumptions!$D$39</f>
        <v>3.4000000000000002E-2</v>
      </c>
      <c r="Q71" s="398">
        <f>Assumptions!$D$39</f>
        <v>3.4000000000000002E-2</v>
      </c>
      <c r="R71" s="398">
        <f>Assumptions!$D$39</f>
        <v>3.4000000000000002E-2</v>
      </c>
      <c r="S71" s="398">
        <f>Assumptions!$D$39</f>
        <v>3.4000000000000002E-2</v>
      </c>
      <c r="T71" s="398">
        <f>Assumptions!$D$39</f>
        <v>3.4000000000000002E-2</v>
      </c>
      <c r="U71" s="398">
        <f>Assumptions!$D$39</f>
        <v>3.4000000000000002E-2</v>
      </c>
      <c r="V71" s="398"/>
      <c r="W71" s="398"/>
    </row>
    <row r="72" spans="1:45">
      <c r="A72" s="38" t="s">
        <v>157</v>
      </c>
      <c r="B72" s="267">
        <f>B70*B71</f>
        <v>438.02585885686216</v>
      </c>
      <c r="C72" s="267">
        <f t="shared" ref="C72:U72" si="18">C70*C71</f>
        <v>498.35273607539557</v>
      </c>
      <c r="D72" s="267">
        <f t="shared" si="18"/>
        <v>564.61985138784632</v>
      </c>
      <c r="E72" s="267">
        <f t="shared" si="18"/>
        <v>635.14066504394236</v>
      </c>
      <c r="F72" s="267">
        <f t="shared" si="18"/>
        <v>713.76880814115293</v>
      </c>
      <c r="G72" s="267">
        <f t="shared" si="18"/>
        <v>748.68854903622332</v>
      </c>
      <c r="H72" s="267">
        <f t="shared" si="18"/>
        <v>782.73215623469673</v>
      </c>
      <c r="I72" s="267">
        <f t="shared" si="18"/>
        <v>818.99697112128922</v>
      </c>
      <c r="J72" s="267">
        <f t="shared" si="18"/>
        <v>861.63309950979021</v>
      </c>
      <c r="K72" s="267">
        <f t="shared" si="18"/>
        <v>907.48762238829454</v>
      </c>
      <c r="L72" s="267">
        <f t="shared" si="18"/>
        <v>935.90568223432456</v>
      </c>
      <c r="M72" s="267">
        <f t="shared" si="18"/>
        <v>970.55020034041513</v>
      </c>
      <c r="N72" s="267">
        <f t="shared" si="18"/>
        <v>1008.1374839527757</v>
      </c>
      <c r="O72" s="267">
        <f t="shared" si="18"/>
        <v>1046.7819582601394</v>
      </c>
      <c r="P72" s="267">
        <f t="shared" si="18"/>
        <v>1087.4200296549202</v>
      </c>
      <c r="Q72" s="267">
        <f t="shared" si="18"/>
        <v>1133.5781512985172</v>
      </c>
      <c r="R72" s="267">
        <f t="shared" si="18"/>
        <v>1183.3333811275675</v>
      </c>
      <c r="S72" s="267">
        <f t="shared" si="18"/>
        <v>1235.5386598837381</v>
      </c>
      <c r="T72" s="267">
        <f t="shared" si="18"/>
        <v>1290.9862650550995</v>
      </c>
      <c r="U72" s="267">
        <f t="shared" si="18"/>
        <v>1349.9499024189311</v>
      </c>
      <c r="V72" s="399"/>
      <c r="W72" s="399"/>
    </row>
    <row r="73" spans="1:45">
      <c r="A73" s="4"/>
      <c r="B73" s="9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45">
      <c r="A74" s="315" t="s">
        <v>81</v>
      </c>
      <c r="B74" s="9"/>
      <c r="C74" s="9"/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  <c r="V74" s="407"/>
      <c r="W74" s="407"/>
    </row>
    <row r="75" spans="1:45" s="3" customFormat="1">
      <c r="A75" s="38" t="s">
        <v>235</v>
      </c>
      <c r="B75" s="381">
        <f t="shared" ref="B75:U75" si="19">B13</f>
        <v>34665.11083352947</v>
      </c>
      <c r="C75" s="381">
        <f t="shared" si="19"/>
        <v>36465.814643218124</v>
      </c>
      <c r="D75" s="381">
        <f t="shared" si="19"/>
        <v>38361.235586801071</v>
      </c>
      <c r="E75" s="381">
        <f t="shared" si="19"/>
        <v>40356.357940543152</v>
      </c>
      <c r="F75" s="381">
        <f t="shared" si="19"/>
        <v>42456.536129570479</v>
      </c>
      <c r="G75" s="381">
        <f t="shared" si="19"/>
        <v>43334.391079683177</v>
      </c>
      <c r="H75" s="381">
        <f t="shared" si="19"/>
        <v>44229.990842554434</v>
      </c>
      <c r="I75" s="381">
        <f t="shared" si="19"/>
        <v>45145.10159007155</v>
      </c>
      <c r="J75" s="381">
        <f t="shared" si="19"/>
        <v>46080.618477000193</v>
      </c>
      <c r="K75" s="381">
        <f t="shared" si="19"/>
        <v>47036.671799207055</v>
      </c>
      <c r="L75" s="381">
        <f t="shared" si="19"/>
        <v>47672.826272120059</v>
      </c>
      <c r="M75" s="381">
        <f t="shared" si="19"/>
        <v>48320.146201854026</v>
      </c>
      <c r="N75" s="381">
        <f t="shared" si="19"/>
        <v>48976.841961927603</v>
      </c>
      <c r="O75" s="381">
        <f t="shared" si="19"/>
        <v>49643.066459249509</v>
      </c>
      <c r="P75" s="381">
        <f t="shared" si="19"/>
        <v>50318.975111458763</v>
      </c>
      <c r="Q75" s="381">
        <f t="shared" si="19"/>
        <v>51114.909985418024</v>
      </c>
      <c r="R75" s="381">
        <f t="shared" si="19"/>
        <v>51923.927837946678</v>
      </c>
      <c r="S75" s="381">
        <f t="shared" si="19"/>
        <v>52746.257935891015</v>
      </c>
      <c r="T75" s="381">
        <f t="shared" si="19"/>
        <v>53582.133956161924</v>
      </c>
      <c r="U75" s="381">
        <f t="shared" si="19"/>
        <v>54431.794080721273</v>
      </c>
      <c r="V75" s="397"/>
      <c r="W75" s="397"/>
      <c r="X75" s="396"/>
      <c r="Y75" s="396"/>
      <c r="Z75" s="396"/>
      <c r="AA75" s="396"/>
      <c r="AB75" s="396"/>
      <c r="AC75" s="4"/>
      <c r="AD75" s="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8" t="s">
        <v>158</v>
      </c>
      <c r="B76" s="398">
        <f>Assumptions!$D$40</f>
        <v>1.2E-2</v>
      </c>
      <c r="C76" s="398">
        <f>Assumptions!$D$40</f>
        <v>1.2E-2</v>
      </c>
      <c r="D76" s="398">
        <f>Assumptions!$D$40</f>
        <v>1.2E-2</v>
      </c>
      <c r="E76" s="398">
        <f>Assumptions!$D$40</f>
        <v>1.2E-2</v>
      </c>
      <c r="F76" s="398">
        <f>Assumptions!$D$40</f>
        <v>1.2E-2</v>
      </c>
      <c r="G76" s="398">
        <f>Assumptions!$D$40</f>
        <v>1.2E-2</v>
      </c>
      <c r="H76" s="398">
        <f>Assumptions!$D$40</f>
        <v>1.2E-2</v>
      </c>
      <c r="I76" s="398">
        <f>Assumptions!$D$40</f>
        <v>1.2E-2</v>
      </c>
      <c r="J76" s="398">
        <f>Assumptions!$D$40</f>
        <v>1.2E-2</v>
      </c>
      <c r="K76" s="398">
        <f>Assumptions!$D$40</f>
        <v>1.2E-2</v>
      </c>
      <c r="L76" s="398">
        <f>Assumptions!$D$40</f>
        <v>1.2E-2</v>
      </c>
      <c r="M76" s="398">
        <f>Assumptions!$D$40</f>
        <v>1.2E-2</v>
      </c>
      <c r="N76" s="398">
        <f>Assumptions!$D$40</f>
        <v>1.2E-2</v>
      </c>
      <c r="O76" s="398">
        <f>Assumptions!$D$40</f>
        <v>1.2E-2</v>
      </c>
      <c r="P76" s="398">
        <f>Assumptions!$D$40</f>
        <v>1.2E-2</v>
      </c>
      <c r="Q76" s="398">
        <f>Assumptions!$D$40</f>
        <v>1.2E-2</v>
      </c>
      <c r="R76" s="398">
        <f>Assumptions!$D$40</f>
        <v>1.2E-2</v>
      </c>
      <c r="S76" s="398">
        <f>Assumptions!$D$40</f>
        <v>1.2E-2</v>
      </c>
      <c r="T76" s="398">
        <f>Assumptions!$D$40</f>
        <v>1.2E-2</v>
      </c>
      <c r="U76" s="398">
        <f>Assumptions!$D$40</f>
        <v>1.2E-2</v>
      </c>
      <c r="V76" s="398"/>
      <c r="W76" s="398"/>
      <c r="X76" s="397"/>
      <c r="Y76" s="397"/>
      <c r="Z76" s="397"/>
      <c r="AA76" s="397"/>
      <c r="AB76" s="397"/>
      <c r="AC76" s="4"/>
      <c r="AD76" s="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159</v>
      </c>
      <c r="B77" s="267">
        <f>B75*B76</f>
        <v>415.98133000235367</v>
      </c>
      <c r="C77" s="267">
        <f t="shared" ref="C77:U77" si="20">C75*C76</f>
        <v>437.58977571861749</v>
      </c>
      <c r="D77" s="267">
        <f t="shared" si="20"/>
        <v>460.33482704161287</v>
      </c>
      <c r="E77" s="267">
        <f t="shared" si="20"/>
        <v>484.27629528651784</v>
      </c>
      <c r="F77" s="267">
        <f t="shared" si="20"/>
        <v>509.47843355484576</v>
      </c>
      <c r="G77" s="267">
        <f t="shared" si="20"/>
        <v>520.01269295619818</v>
      </c>
      <c r="H77" s="267">
        <f t="shared" si="20"/>
        <v>530.75989011065326</v>
      </c>
      <c r="I77" s="267">
        <f t="shared" si="20"/>
        <v>541.74121908085863</v>
      </c>
      <c r="J77" s="267">
        <f t="shared" si="20"/>
        <v>552.96742172400229</v>
      </c>
      <c r="K77" s="267">
        <f t="shared" si="20"/>
        <v>564.44006159048467</v>
      </c>
      <c r="L77" s="267">
        <f t="shared" si="20"/>
        <v>572.07391526544075</v>
      </c>
      <c r="M77" s="267">
        <f t="shared" si="20"/>
        <v>579.8417544222483</v>
      </c>
      <c r="N77" s="267">
        <f t="shared" si="20"/>
        <v>587.7221035431312</v>
      </c>
      <c r="O77" s="267">
        <f t="shared" si="20"/>
        <v>595.71679751099407</v>
      </c>
      <c r="P77" s="267">
        <f t="shared" si="20"/>
        <v>603.82770133750512</v>
      </c>
      <c r="Q77" s="267">
        <f t="shared" si="20"/>
        <v>613.37891982501628</v>
      </c>
      <c r="R77" s="267">
        <f t="shared" si="20"/>
        <v>623.08713405536014</v>
      </c>
      <c r="S77" s="267">
        <f t="shared" si="20"/>
        <v>632.95509523069222</v>
      </c>
      <c r="T77" s="267">
        <f t="shared" si="20"/>
        <v>642.98560747394311</v>
      </c>
      <c r="U77" s="267">
        <f t="shared" si="20"/>
        <v>653.18152896865524</v>
      </c>
      <c r="V77" s="399"/>
      <c r="W77" s="399"/>
      <c r="X77" s="398"/>
      <c r="Y77" s="398"/>
      <c r="Z77" s="398"/>
      <c r="AA77" s="398"/>
      <c r="AB77" s="398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/>
      <c r="B78" s="14"/>
      <c r="C78" s="14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>
      <c r="A79" s="327" t="s">
        <v>160</v>
      </c>
      <c r="B79" s="408">
        <f>MAX(B77,B72)</f>
        <v>438.02585885686216</v>
      </c>
      <c r="C79" s="408">
        <f t="shared" ref="C79:U79" si="21">MAX(C77,C72)</f>
        <v>498.35273607539557</v>
      </c>
      <c r="D79" s="408">
        <f t="shared" si="21"/>
        <v>564.61985138784632</v>
      </c>
      <c r="E79" s="408">
        <f t="shared" si="21"/>
        <v>635.14066504394236</v>
      </c>
      <c r="F79" s="408">
        <f t="shared" si="21"/>
        <v>713.76880814115293</v>
      </c>
      <c r="G79" s="408">
        <f t="shared" si="21"/>
        <v>748.68854903622332</v>
      </c>
      <c r="H79" s="408">
        <f t="shared" si="21"/>
        <v>782.73215623469673</v>
      </c>
      <c r="I79" s="408">
        <f t="shared" si="21"/>
        <v>818.99697112128922</v>
      </c>
      <c r="J79" s="408">
        <f t="shared" si="21"/>
        <v>861.63309950979021</v>
      </c>
      <c r="K79" s="408">
        <f t="shared" si="21"/>
        <v>907.48762238829454</v>
      </c>
      <c r="L79" s="408">
        <f t="shared" si="21"/>
        <v>935.90568223432456</v>
      </c>
      <c r="M79" s="408">
        <f t="shared" si="21"/>
        <v>970.55020034041513</v>
      </c>
      <c r="N79" s="408">
        <f t="shared" si="21"/>
        <v>1008.1374839527757</v>
      </c>
      <c r="O79" s="408">
        <f t="shared" si="21"/>
        <v>1046.7819582601394</v>
      </c>
      <c r="P79" s="408">
        <f t="shared" si="21"/>
        <v>1087.4200296549202</v>
      </c>
      <c r="Q79" s="408">
        <f t="shared" si="21"/>
        <v>1133.5781512985172</v>
      </c>
      <c r="R79" s="408">
        <f t="shared" si="21"/>
        <v>1183.3333811275675</v>
      </c>
      <c r="S79" s="408">
        <f t="shared" si="21"/>
        <v>1235.5386598837381</v>
      </c>
      <c r="T79" s="408">
        <f t="shared" si="21"/>
        <v>1290.9862650550995</v>
      </c>
      <c r="U79" s="408">
        <f t="shared" si="21"/>
        <v>1349.9499024189311</v>
      </c>
      <c r="V79" s="399"/>
      <c r="W79" s="399"/>
      <c r="X79" s="38"/>
      <c r="Y79" s="38"/>
      <c r="Z79" s="38"/>
      <c r="AA79" s="38"/>
      <c r="AB79" s="38"/>
      <c r="AC79" s="406"/>
      <c r="AD79" s="406"/>
    </row>
    <row r="80" spans="1:45" s="3" customFormat="1">
      <c r="A80" s="409"/>
      <c r="B80" s="14"/>
      <c r="C80" s="14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407"/>
      <c r="Y80" s="407"/>
      <c r="Z80" s="407"/>
      <c r="AA80" s="407"/>
      <c r="AB80" s="407"/>
      <c r="AC80" s="4"/>
      <c r="AD80" s="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3" customFormat="1">
      <c r="A81" s="4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397"/>
      <c r="Y81" s="397"/>
      <c r="Z81" s="397"/>
      <c r="AA81" s="397"/>
      <c r="AB81" s="397"/>
      <c r="AC81" s="4"/>
      <c r="AD81" s="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3" customFormat="1">
      <c r="A82" s="315" t="s">
        <v>76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398"/>
      <c r="Y82" s="398"/>
      <c r="Z82" s="398"/>
      <c r="AA82" s="398"/>
      <c r="AB82" s="398"/>
      <c r="AC82" s="4"/>
      <c r="AD82" s="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s="3" customFormat="1">
      <c r="A83" s="3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399"/>
      <c r="Y83" s="399"/>
      <c r="Z83" s="399"/>
      <c r="AA83" s="399"/>
      <c r="AB83" s="399"/>
      <c r="AC83" s="4"/>
      <c r="AD83" s="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s="3" customFormat="1">
      <c r="A84" s="38" t="s">
        <v>233</v>
      </c>
      <c r="B84" s="322">
        <f t="shared" ref="B84:U84" si="22">B33</f>
        <v>12883.113495790063</v>
      </c>
      <c r="C84" s="322">
        <f t="shared" si="22"/>
        <v>14657.433413982222</v>
      </c>
      <c r="D84" s="322">
        <f t="shared" si="22"/>
        <v>16606.466217289595</v>
      </c>
      <c r="E84" s="322">
        <f t="shared" si="22"/>
        <v>18680.607795410069</v>
      </c>
      <c r="F84" s="322">
        <f t="shared" si="22"/>
        <v>20993.200239445672</v>
      </c>
      <c r="G84" s="322">
        <f t="shared" si="22"/>
        <v>22020.251442241861</v>
      </c>
      <c r="H84" s="322">
        <f t="shared" si="22"/>
        <v>23021.534006902843</v>
      </c>
      <c r="I84" s="322">
        <f t="shared" si="22"/>
        <v>24088.146209449682</v>
      </c>
      <c r="J84" s="322">
        <f t="shared" si="22"/>
        <v>25342.149985582062</v>
      </c>
      <c r="K84" s="322">
        <f t="shared" si="22"/>
        <v>26690.812423185133</v>
      </c>
      <c r="L84" s="322">
        <f t="shared" si="22"/>
        <v>27526.637712774249</v>
      </c>
      <c r="M84" s="322">
        <f t="shared" si="22"/>
        <v>28545.594127659268</v>
      </c>
      <c r="N84" s="322">
        <f t="shared" si="22"/>
        <v>29651.102469199282</v>
      </c>
      <c r="O84" s="322">
        <f t="shared" si="22"/>
        <v>30787.704654709982</v>
      </c>
      <c r="P84" s="322">
        <f t="shared" si="22"/>
        <v>31982.942048674118</v>
      </c>
      <c r="Q84" s="322">
        <f t="shared" si="22"/>
        <v>33340.533861721095</v>
      </c>
      <c r="R84" s="322">
        <f t="shared" si="22"/>
        <v>34803.922974340217</v>
      </c>
      <c r="S84" s="322">
        <f t="shared" si="22"/>
        <v>36339.372349521705</v>
      </c>
      <c r="T84" s="322">
        <f t="shared" si="22"/>
        <v>37970.184266326454</v>
      </c>
      <c r="U84" s="322">
        <f t="shared" si="22"/>
        <v>39704.408894674438</v>
      </c>
      <c r="V84" s="96"/>
      <c r="W84" s="361">
        <f>SUM(B84:U84)</f>
        <v>535636.11858887994</v>
      </c>
      <c r="X84" s="399"/>
      <c r="Y84" s="399"/>
      <c r="Z84" s="399"/>
      <c r="AA84" s="399"/>
      <c r="AB84" s="399"/>
      <c r="AC84" s="4"/>
      <c r="AD84" s="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s="3" customFormat="1">
      <c r="A85" s="38" t="s">
        <v>119</v>
      </c>
      <c r="B85" s="322">
        <f>B27</f>
        <v>6399.222639133035</v>
      </c>
      <c r="C85" s="322">
        <f t="shared" ref="C85:U85" si="23">C27</f>
        <v>6399.222639133035</v>
      </c>
      <c r="D85" s="322">
        <f t="shared" si="23"/>
        <v>6399.222639133035</v>
      </c>
      <c r="E85" s="322">
        <f t="shared" si="23"/>
        <v>6399.222639133035</v>
      </c>
      <c r="F85" s="322">
        <f t="shared" si="23"/>
        <v>6399.222639133035</v>
      </c>
      <c r="G85" s="322">
        <f t="shared" si="23"/>
        <v>6399.222639133035</v>
      </c>
      <c r="H85" s="322">
        <f t="shared" si="23"/>
        <v>6399.222639133035</v>
      </c>
      <c r="I85" s="322">
        <f t="shared" si="23"/>
        <v>6399.222639133035</v>
      </c>
      <c r="J85" s="322">
        <f t="shared" si="23"/>
        <v>6399.222639133035</v>
      </c>
      <c r="K85" s="322">
        <f t="shared" si="23"/>
        <v>6399.222639133035</v>
      </c>
      <c r="L85" s="322">
        <f t="shared" si="23"/>
        <v>6399.222639133035</v>
      </c>
      <c r="M85" s="322">
        <f t="shared" si="23"/>
        <v>6399.222639133035</v>
      </c>
      <c r="N85" s="322">
        <f t="shared" si="23"/>
        <v>6399.222639133035</v>
      </c>
      <c r="O85" s="322">
        <f t="shared" si="23"/>
        <v>6399.222639133035</v>
      </c>
      <c r="P85" s="322">
        <f t="shared" si="23"/>
        <v>6399.222639133035</v>
      </c>
      <c r="Q85" s="322">
        <f t="shared" si="23"/>
        <v>6399.222639133035</v>
      </c>
      <c r="R85" s="322">
        <f t="shared" si="23"/>
        <v>6399.222639133035</v>
      </c>
      <c r="S85" s="322">
        <f t="shared" si="23"/>
        <v>6399.222639133035</v>
      </c>
      <c r="T85" s="322">
        <f t="shared" si="23"/>
        <v>6399.222639133035</v>
      </c>
      <c r="U85" s="322">
        <f t="shared" si="23"/>
        <v>6399.222639133035</v>
      </c>
      <c r="V85" s="96"/>
      <c r="W85" s="361">
        <f>SUM(B85:U85)</f>
        <v>127984.45278266068</v>
      </c>
      <c r="X85" s="408">
        <f>MAX(X83,X78)</f>
        <v>0</v>
      </c>
      <c r="Y85" s="408">
        <f t="shared" ref="Y85:AQ85" si="24">MAX(Y83,Y78)</f>
        <v>0</v>
      </c>
      <c r="Z85" s="408">
        <f t="shared" si="24"/>
        <v>0</v>
      </c>
      <c r="AA85" s="408">
        <f t="shared" si="24"/>
        <v>0</v>
      </c>
      <c r="AB85" s="408">
        <f t="shared" si="24"/>
        <v>0</v>
      </c>
      <c r="AC85" s="408">
        <f t="shared" si="24"/>
        <v>0</v>
      </c>
      <c r="AD85" s="408">
        <f t="shared" si="24"/>
        <v>0</v>
      </c>
      <c r="AE85" s="408">
        <f t="shared" si="24"/>
        <v>0</v>
      </c>
      <c r="AF85" s="408">
        <f t="shared" si="24"/>
        <v>0</v>
      </c>
      <c r="AG85" s="408">
        <f t="shared" si="24"/>
        <v>0</v>
      </c>
      <c r="AH85" s="408">
        <f t="shared" si="24"/>
        <v>0</v>
      </c>
      <c r="AI85" s="408">
        <f t="shared" si="24"/>
        <v>0</v>
      </c>
      <c r="AJ85" s="408">
        <f t="shared" si="24"/>
        <v>0</v>
      </c>
      <c r="AK85" s="408">
        <f t="shared" si="24"/>
        <v>0</v>
      </c>
      <c r="AL85" s="408">
        <f t="shared" si="24"/>
        <v>0</v>
      </c>
      <c r="AM85" s="408">
        <f t="shared" si="24"/>
        <v>0</v>
      </c>
      <c r="AN85" s="408">
        <f t="shared" si="24"/>
        <v>0</v>
      </c>
      <c r="AO85" s="408">
        <f t="shared" si="24"/>
        <v>0</v>
      </c>
      <c r="AP85" s="408">
        <f t="shared" si="24"/>
        <v>0</v>
      </c>
      <c r="AQ85" s="408">
        <f t="shared" si="24"/>
        <v>0</v>
      </c>
      <c r="AR85" s="2"/>
      <c r="AS85" s="2"/>
    </row>
    <row r="86" spans="1:45" s="3" customFormat="1" ht="15">
      <c r="A86" s="38" t="s">
        <v>178</v>
      </c>
      <c r="B86" s="368">
        <f>-Depreciation!C51</f>
        <v>-10665.371065221725</v>
      </c>
      <c r="C86" s="368">
        <f>-Depreciation!D51</f>
        <v>-20264.205023921277</v>
      </c>
      <c r="D86" s="368">
        <f>-Depreciation!E51</f>
        <v>-18237.784521529149</v>
      </c>
      <c r="E86" s="368">
        <f>-Depreciation!F51</f>
        <v>-16424.671440441456</v>
      </c>
      <c r="F86" s="368">
        <f>-Depreciation!G51</f>
        <v>-14782.204296397309</v>
      </c>
      <c r="G86" s="368">
        <f>-Depreciation!H51</f>
        <v>-13289.052347266268</v>
      </c>
      <c r="H86" s="368">
        <f>-Depreciation!I51</f>
        <v>-12585.137856961634</v>
      </c>
      <c r="I86" s="368">
        <f>-Depreciation!J51</f>
        <v>-12606.468599092077</v>
      </c>
      <c r="J86" s="368">
        <f>-Depreciation!K51</f>
        <v>-12585.137856961634</v>
      </c>
      <c r="K86" s="368">
        <f>-Depreciation!L51</f>
        <v>-12606.468599092077</v>
      </c>
      <c r="L86" s="368">
        <f>-Depreciation!M51</f>
        <v>-12585.137856961634</v>
      </c>
      <c r="M86" s="368">
        <f>-Depreciation!N51</f>
        <v>-12606.468599092077</v>
      </c>
      <c r="N86" s="368">
        <f>-Depreciation!O51</f>
        <v>-12585.137856961634</v>
      </c>
      <c r="O86" s="368">
        <f>-Depreciation!P51</f>
        <v>-12606.468599092077</v>
      </c>
      <c r="P86" s="368">
        <f>-Depreciation!Q51</f>
        <v>-12585.137856961634</v>
      </c>
      <c r="Q86" s="368">
        <f>-Depreciation!R51</f>
        <v>-6292.5689284808168</v>
      </c>
      <c r="R86" s="368">
        <f>-Depreciation!S51</f>
        <v>0</v>
      </c>
      <c r="S86" s="368">
        <f>-Depreciation!T51</f>
        <v>0</v>
      </c>
      <c r="T86" s="368">
        <f>-Depreciation!U51</f>
        <v>0</v>
      </c>
      <c r="U86" s="368">
        <f>-Depreciation!V51</f>
        <v>0</v>
      </c>
      <c r="V86" s="96"/>
      <c r="W86" s="369">
        <f>SUM(B86:U86)</f>
        <v>-213307.42130443445</v>
      </c>
      <c r="X86" s="399"/>
      <c r="Y86" s="399"/>
      <c r="Z86" s="399"/>
      <c r="AA86" s="399"/>
      <c r="AB86" s="399"/>
      <c r="AC86" s="4"/>
      <c r="AD86" s="4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s="1" customFormat="1">
      <c r="A87" s="327" t="s">
        <v>118</v>
      </c>
      <c r="B87" s="267">
        <f t="shared" ref="B87:U87" si="25">SUM(B84:B86)</f>
        <v>8616.9650697013731</v>
      </c>
      <c r="C87" s="267">
        <f t="shared" si="25"/>
        <v>792.4510291939805</v>
      </c>
      <c r="D87" s="267">
        <f t="shared" si="25"/>
        <v>4767.9043348934829</v>
      </c>
      <c r="E87" s="267">
        <f t="shared" si="25"/>
        <v>8655.1589941016464</v>
      </c>
      <c r="F87" s="267">
        <f t="shared" si="25"/>
        <v>12610.218582181396</v>
      </c>
      <c r="G87" s="267">
        <f t="shared" si="25"/>
        <v>15130.421734108626</v>
      </c>
      <c r="H87" s="267">
        <f t="shared" si="25"/>
        <v>16835.618789074244</v>
      </c>
      <c r="I87" s="267">
        <f t="shared" si="25"/>
        <v>17880.900249490638</v>
      </c>
      <c r="J87" s="267">
        <f t="shared" si="25"/>
        <v>19156.234767753464</v>
      </c>
      <c r="K87" s="267">
        <f t="shared" si="25"/>
        <v>20483.566463226089</v>
      </c>
      <c r="L87" s="267">
        <f t="shared" si="25"/>
        <v>21340.72249494565</v>
      </c>
      <c r="M87" s="267">
        <f t="shared" si="25"/>
        <v>22338.348167700227</v>
      </c>
      <c r="N87" s="267">
        <f t="shared" si="25"/>
        <v>23465.187251370684</v>
      </c>
      <c r="O87" s="267">
        <f t="shared" si="25"/>
        <v>24580.458694750938</v>
      </c>
      <c r="P87" s="267">
        <f t="shared" si="25"/>
        <v>25797.02683084552</v>
      </c>
      <c r="Q87" s="267">
        <f t="shared" si="25"/>
        <v>33447.18757237331</v>
      </c>
      <c r="R87" s="267">
        <f t="shared" si="25"/>
        <v>41203.145613473251</v>
      </c>
      <c r="S87" s="267">
        <f t="shared" si="25"/>
        <v>42738.594988654739</v>
      </c>
      <c r="T87" s="267">
        <f t="shared" si="25"/>
        <v>44369.406905459487</v>
      </c>
      <c r="U87" s="267">
        <f t="shared" si="25"/>
        <v>46103.631533807471</v>
      </c>
      <c r="V87" s="96"/>
      <c r="W87" s="361">
        <f>SUM(B87:U87)</f>
        <v>450313.15006710618</v>
      </c>
      <c r="X87" s="4"/>
      <c r="Y87" s="4"/>
      <c r="Z87" s="4"/>
      <c r="AA87" s="4"/>
      <c r="AB87" s="4"/>
      <c r="AC87" s="4"/>
      <c r="AD87" s="4"/>
    </row>
    <row r="88" spans="1:45" s="1" customFormat="1">
      <c r="A88" s="38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96"/>
      <c r="W88" s="96"/>
      <c r="X88" s="4"/>
      <c r="Y88" s="4"/>
      <c r="Z88" s="4"/>
      <c r="AA88" s="4"/>
      <c r="AB88" s="4"/>
      <c r="AC88" s="4"/>
      <c r="AD88" s="4"/>
    </row>
    <row r="89" spans="1:45" s="1" customFormat="1">
      <c r="A89" s="38" t="s">
        <v>35</v>
      </c>
      <c r="B89" s="370">
        <f>Assumptions!$D$38</f>
        <v>4.4999999999999998E-2</v>
      </c>
      <c r="C89" s="370">
        <f>Assumptions!$D$38</f>
        <v>4.4999999999999998E-2</v>
      </c>
      <c r="D89" s="370">
        <f>Assumptions!$D$38</f>
        <v>4.4999999999999998E-2</v>
      </c>
      <c r="E89" s="370">
        <f>Assumptions!$D$38</f>
        <v>4.4999999999999998E-2</v>
      </c>
      <c r="F89" s="370">
        <f>Assumptions!$D$38</f>
        <v>4.4999999999999998E-2</v>
      </c>
      <c r="G89" s="370">
        <f>Assumptions!$D$38</f>
        <v>4.4999999999999998E-2</v>
      </c>
      <c r="H89" s="370">
        <f>Assumptions!$D$38</f>
        <v>4.4999999999999998E-2</v>
      </c>
      <c r="I89" s="370">
        <f>Assumptions!$D$38</f>
        <v>4.4999999999999998E-2</v>
      </c>
      <c r="J89" s="370">
        <f>Assumptions!$D$38</f>
        <v>4.4999999999999998E-2</v>
      </c>
      <c r="K89" s="370">
        <f>Assumptions!$D$38</f>
        <v>4.4999999999999998E-2</v>
      </c>
      <c r="L89" s="370">
        <f>Assumptions!$D$38</f>
        <v>4.4999999999999998E-2</v>
      </c>
      <c r="M89" s="370">
        <f>Assumptions!$D$38</f>
        <v>4.4999999999999998E-2</v>
      </c>
      <c r="N89" s="370">
        <f>Assumptions!$D$38</f>
        <v>4.4999999999999998E-2</v>
      </c>
      <c r="O89" s="370">
        <f>Assumptions!$D$38</f>
        <v>4.4999999999999998E-2</v>
      </c>
      <c r="P89" s="370">
        <f>Assumptions!$D$38</f>
        <v>4.4999999999999998E-2</v>
      </c>
      <c r="Q89" s="370">
        <f>Assumptions!$D$38</f>
        <v>4.4999999999999998E-2</v>
      </c>
      <c r="R89" s="370">
        <f>Assumptions!$D$38</f>
        <v>4.4999999999999998E-2</v>
      </c>
      <c r="S89" s="370">
        <f>Assumptions!$D$38</f>
        <v>4.4999999999999998E-2</v>
      </c>
      <c r="T89" s="370">
        <f>Assumptions!$D$38</f>
        <v>4.4999999999999998E-2</v>
      </c>
      <c r="U89" s="370">
        <f>Assumptions!$D$38</f>
        <v>4.4999999999999998E-2</v>
      </c>
      <c r="V89" s="96"/>
      <c r="W89" s="96"/>
      <c r="X89" s="4"/>
      <c r="Y89" s="4"/>
      <c r="Z89" s="4"/>
      <c r="AA89" s="4"/>
      <c r="AB89" s="4"/>
      <c r="AC89" s="4"/>
      <c r="AD89" s="4"/>
    </row>
    <row r="90" spans="1:45">
      <c r="A90" s="38" t="s">
        <v>120</v>
      </c>
      <c r="B90" s="322">
        <f>B87*B89</f>
        <v>387.7634281365618</v>
      </c>
      <c r="C90" s="322">
        <f t="shared" ref="C90:U90" si="26">C87*C89</f>
        <v>35.66029631372912</v>
      </c>
      <c r="D90" s="322">
        <f t="shared" si="26"/>
        <v>214.55569507020672</v>
      </c>
      <c r="E90" s="322">
        <f t="shared" si="26"/>
        <v>389.48215473457407</v>
      </c>
      <c r="F90" s="322">
        <f t="shared" si="26"/>
        <v>567.45983619816286</v>
      </c>
      <c r="G90" s="322">
        <f t="shared" si="26"/>
        <v>680.86897803488819</v>
      </c>
      <c r="H90" s="322">
        <f t="shared" si="26"/>
        <v>757.60284550834092</v>
      </c>
      <c r="I90" s="322">
        <f t="shared" si="26"/>
        <v>804.64051122707872</v>
      </c>
      <c r="J90" s="322">
        <f t="shared" si="26"/>
        <v>862.03056454890577</v>
      </c>
      <c r="K90" s="322">
        <f t="shared" si="26"/>
        <v>921.76049084517399</v>
      </c>
      <c r="L90" s="322">
        <f t="shared" si="26"/>
        <v>960.33251227255425</v>
      </c>
      <c r="M90" s="322">
        <f t="shared" si="26"/>
        <v>1005.2256675465102</v>
      </c>
      <c r="N90" s="322">
        <f t="shared" si="26"/>
        <v>1055.9334263116807</v>
      </c>
      <c r="O90" s="322">
        <f t="shared" si="26"/>
        <v>1106.1206412637921</v>
      </c>
      <c r="P90" s="322">
        <f t="shared" si="26"/>
        <v>1160.8662073880485</v>
      </c>
      <c r="Q90" s="322">
        <f t="shared" si="26"/>
        <v>1505.1234407567988</v>
      </c>
      <c r="R90" s="322">
        <f t="shared" si="26"/>
        <v>1854.1415526062963</v>
      </c>
      <c r="S90" s="322">
        <f t="shared" si="26"/>
        <v>1923.2367744894632</v>
      </c>
      <c r="T90" s="322">
        <f t="shared" si="26"/>
        <v>1996.6233107456769</v>
      </c>
      <c r="U90" s="322">
        <f t="shared" si="26"/>
        <v>2074.6634190213363</v>
      </c>
    </row>
    <row r="91" spans="1:45">
      <c r="A91" s="38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7"/>
      <c r="S91" s="267"/>
      <c r="T91" s="267"/>
      <c r="U91" s="267"/>
    </row>
    <row r="92" spans="1:45">
      <c r="A92" s="38" t="s">
        <v>121</v>
      </c>
      <c r="B92" s="322">
        <v>0</v>
      </c>
      <c r="C92" s="322">
        <f t="shared" ref="C92:U92" si="27">B96</f>
        <v>0</v>
      </c>
      <c r="D92" s="322">
        <f t="shared" si="27"/>
        <v>0</v>
      </c>
      <c r="E92" s="322">
        <f t="shared" si="27"/>
        <v>0</v>
      </c>
      <c r="F92" s="322">
        <f t="shared" si="27"/>
        <v>0</v>
      </c>
      <c r="G92" s="322">
        <f t="shared" si="27"/>
        <v>0</v>
      </c>
      <c r="H92" s="322">
        <f t="shared" si="27"/>
        <v>0</v>
      </c>
      <c r="I92" s="322">
        <f t="shared" si="27"/>
        <v>0</v>
      </c>
      <c r="J92" s="322">
        <f t="shared" si="27"/>
        <v>0</v>
      </c>
      <c r="K92" s="322">
        <f t="shared" si="27"/>
        <v>0</v>
      </c>
      <c r="L92" s="322">
        <f t="shared" si="27"/>
        <v>0</v>
      </c>
      <c r="M92" s="322">
        <f t="shared" si="27"/>
        <v>0</v>
      </c>
      <c r="N92" s="322">
        <f>M96</f>
        <v>0</v>
      </c>
      <c r="O92" s="322">
        <f t="shared" si="27"/>
        <v>0</v>
      </c>
      <c r="P92" s="322">
        <f t="shared" si="27"/>
        <v>0</v>
      </c>
      <c r="Q92" s="322">
        <f t="shared" si="27"/>
        <v>0</v>
      </c>
      <c r="R92" s="322">
        <v>0</v>
      </c>
      <c r="S92" s="322">
        <f t="shared" si="27"/>
        <v>0</v>
      </c>
      <c r="T92" s="322">
        <f t="shared" si="27"/>
        <v>0</v>
      </c>
      <c r="U92" s="322">
        <f t="shared" si="27"/>
        <v>0</v>
      </c>
    </row>
    <row r="93" spans="1:45">
      <c r="A93" s="38" t="s">
        <v>122</v>
      </c>
      <c r="B93" s="332">
        <f t="shared" ref="B93:U93" si="28">IF(B62&gt;2020,0,IF(B90&lt;0,-B90,0))</f>
        <v>0</v>
      </c>
      <c r="C93" s="332">
        <f t="shared" si="28"/>
        <v>0</v>
      </c>
      <c r="D93" s="332">
        <f t="shared" si="28"/>
        <v>0</v>
      </c>
      <c r="E93" s="332">
        <f t="shared" si="28"/>
        <v>0</v>
      </c>
      <c r="F93" s="332">
        <f t="shared" si="28"/>
        <v>0</v>
      </c>
      <c r="G93" s="332">
        <f t="shared" si="28"/>
        <v>0</v>
      </c>
      <c r="H93" s="332">
        <f t="shared" si="28"/>
        <v>0</v>
      </c>
      <c r="I93" s="332">
        <f t="shared" si="28"/>
        <v>0</v>
      </c>
      <c r="J93" s="332">
        <f t="shared" si="28"/>
        <v>0</v>
      </c>
      <c r="K93" s="332">
        <f t="shared" si="28"/>
        <v>0</v>
      </c>
      <c r="L93" s="332">
        <f t="shared" si="28"/>
        <v>0</v>
      </c>
      <c r="M93" s="332">
        <f t="shared" si="28"/>
        <v>0</v>
      </c>
      <c r="N93" s="332">
        <f t="shared" si="28"/>
        <v>0</v>
      </c>
      <c r="O93" s="332">
        <f t="shared" si="28"/>
        <v>0</v>
      </c>
      <c r="P93" s="332">
        <f t="shared" si="28"/>
        <v>0</v>
      </c>
      <c r="Q93" s="332">
        <f t="shared" si="28"/>
        <v>0</v>
      </c>
      <c r="R93" s="332">
        <f t="shared" si="28"/>
        <v>0</v>
      </c>
      <c r="S93" s="332">
        <f t="shared" si="28"/>
        <v>0</v>
      </c>
      <c r="T93" s="332">
        <f t="shared" si="28"/>
        <v>0</v>
      </c>
      <c r="U93" s="332">
        <f t="shared" si="28"/>
        <v>0</v>
      </c>
    </row>
    <row r="94" spans="1:45">
      <c r="A94" s="38" t="s">
        <v>123</v>
      </c>
      <c r="B94" s="371">
        <v>0</v>
      </c>
      <c r="C94" s="371">
        <v>0</v>
      </c>
      <c r="D94" s="371">
        <v>0</v>
      </c>
      <c r="E94" s="371">
        <v>0</v>
      </c>
      <c r="F94" s="371">
        <v>0</v>
      </c>
      <c r="G94" s="371">
        <v>0</v>
      </c>
      <c r="H94" s="371">
        <v>0</v>
      </c>
      <c r="I94" s="371">
        <v>0</v>
      </c>
      <c r="J94" s="371">
        <v>0</v>
      </c>
      <c r="K94" s="371">
        <v>0</v>
      </c>
      <c r="L94" s="371">
        <v>0</v>
      </c>
      <c r="M94" s="371">
        <v>0</v>
      </c>
      <c r="N94" s="371">
        <v>0</v>
      </c>
      <c r="O94" s="371">
        <v>0</v>
      </c>
      <c r="P94" s="371">
        <v>0</v>
      </c>
      <c r="Q94" s="371">
        <v>0</v>
      </c>
      <c r="R94" s="371">
        <v>0</v>
      </c>
      <c r="S94" s="371">
        <v>0</v>
      </c>
      <c r="T94" s="322">
        <f>IF(L93&gt;(SUM(M95:S95)+SUM(L94:S94))*-1,L93-(SUM(L95:S95)+SUM(L94:S94))*-1,0)</f>
        <v>0</v>
      </c>
      <c r="U94" s="322">
        <f>IF(M93&gt;(SUM(N95:T95)+SUM(M94:T94))*-1,M93-(SUM(M95:T95)+SUM(M94:T94))*-1,0)</f>
        <v>0</v>
      </c>
    </row>
    <row r="95" spans="1:45">
      <c r="A95" s="9" t="s">
        <v>124</v>
      </c>
      <c r="B95" s="372">
        <f t="shared" ref="B95:T95" si="29">IF(B90&lt;0,0,IF(B92&gt;B90,-B90,-B92))</f>
        <v>0</v>
      </c>
      <c r="C95" s="372">
        <f t="shared" si="29"/>
        <v>0</v>
      </c>
      <c r="D95" s="372">
        <f t="shared" si="29"/>
        <v>0</v>
      </c>
      <c r="E95" s="372">
        <f t="shared" si="29"/>
        <v>0</v>
      </c>
      <c r="F95" s="372">
        <f t="shared" si="29"/>
        <v>0</v>
      </c>
      <c r="G95" s="372">
        <f t="shared" si="29"/>
        <v>0</v>
      </c>
      <c r="H95" s="372">
        <f t="shared" si="29"/>
        <v>0</v>
      </c>
      <c r="I95" s="372">
        <f t="shared" si="29"/>
        <v>0</v>
      </c>
      <c r="J95" s="372">
        <f t="shared" si="29"/>
        <v>0</v>
      </c>
      <c r="K95" s="372">
        <f t="shared" si="29"/>
        <v>0</v>
      </c>
      <c r="L95" s="372">
        <f t="shared" si="29"/>
        <v>0</v>
      </c>
      <c r="M95" s="372">
        <f t="shared" si="29"/>
        <v>0</v>
      </c>
      <c r="N95" s="372">
        <f t="shared" si="29"/>
        <v>0</v>
      </c>
      <c r="O95" s="372">
        <f t="shared" si="29"/>
        <v>0</v>
      </c>
      <c r="P95" s="372">
        <f t="shared" si="29"/>
        <v>0</v>
      </c>
      <c r="Q95" s="372">
        <f t="shared" si="29"/>
        <v>0</v>
      </c>
      <c r="R95" s="372">
        <f t="shared" si="29"/>
        <v>0</v>
      </c>
      <c r="S95" s="372">
        <f t="shared" si="29"/>
        <v>0</v>
      </c>
      <c r="T95" s="372">
        <f t="shared" si="29"/>
        <v>0</v>
      </c>
      <c r="U95" s="372">
        <f>IF(U90&lt;0,0,IF(U92&gt;U90,-U90,-U92))</f>
        <v>0</v>
      </c>
    </row>
    <row r="96" spans="1:45">
      <c r="A96" s="9" t="s">
        <v>125</v>
      </c>
      <c r="B96" s="372">
        <f t="shared" ref="B96:U96" si="30">SUM(B92:B95)</f>
        <v>0</v>
      </c>
      <c r="C96" s="372">
        <f t="shared" si="30"/>
        <v>0</v>
      </c>
      <c r="D96" s="372">
        <f t="shared" si="30"/>
        <v>0</v>
      </c>
      <c r="E96" s="372">
        <f t="shared" si="30"/>
        <v>0</v>
      </c>
      <c r="F96" s="372">
        <f t="shared" si="30"/>
        <v>0</v>
      </c>
      <c r="G96" s="372">
        <f t="shared" si="30"/>
        <v>0</v>
      </c>
      <c r="H96" s="372">
        <f t="shared" si="30"/>
        <v>0</v>
      </c>
      <c r="I96" s="372">
        <f t="shared" si="30"/>
        <v>0</v>
      </c>
      <c r="J96" s="372">
        <f t="shared" si="30"/>
        <v>0</v>
      </c>
      <c r="K96" s="372">
        <f t="shared" si="30"/>
        <v>0</v>
      </c>
      <c r="L96" s="372">
        <f t="shared" si="30"/>
        <v>0</v>
      </c>
      <c r="M96" s="372">
        <f t="shared" si="30"/>
        <v>0</v>
      </c>
      <c r="N96" s="372">
        <f t="shared" si="30"/>
        <v>0</v>
      </c>
      <c r="O96" s="372">
        <f t="shared" si="30"/>
        <v>0</v>
      </c>
      <c r="P96" s="372">
        <f t="shared" si="30"/>
        <v>0</v>
      </c>
      <c r="Q96" s="372">
        <f t="shared" si="30"/>
        <v>0</v>
      </c>
      <c r="R96" s="372">
        <f t="shared" si="30"/>
        <v>0</v>
      </c>
      <c r="S96" s="372">
        <f t="shared" si="30"/>
        <v>0</v>
      </c>
      <c r="T96" s="372">
        <f t="shared" si="30"/>
        <v>0</v>
      </c>
      <c r="U96" s="372">
        <f t="shared" si="30"/>
        <v>0</v>
      </c>
    </row>
    <row r="97" spans="1:23">
      <c r="A97" s="9"/>
      <c r="B97" s="267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</row>
    <row r="98" spans="1:23" ht="13.5" thickBot="1">
      <c r="A98" s="14" t="s">
        <v>117</v>
      </c>
      <c r="B98" s="411">
        <f>IF(B90&lt;0,0,B90+B95)</f>
        <v>387.7634281365618</v>
      </c>
      <c r="C98" s="411">
        <f t="shared" ref="C98:U98" si="31">IF(C90&lt;0,0,C90+C95)</f>
        <v>35.66029631372912</v>
      </c>
      <c r="D98" s="411">
        <f t="shared" si="31"/>
        <v>214.55569507020672</v>
      </c>
      <c r="E98" s="411">
        <f t="shared" si="31"/>
        <v>389.48215473457407</v>
      </c>
      <c r="F98" s="411">
        <f t="shared" si="31"/>
        <v>567.45983619816286</v>
      </c>
      <c r="G98" s="411">
        <f t="shared" si="31"/>
        <v>680.86897803488819</v>
      </c>
      <c r="H98" s="411">
        <f t="shared" si="31"/>
        <v>757.60284550834092</v>
      </c>
      <c r="I98" s="411">
        <f t="shared" si="31"/>
        <v>804.64051122707872</v>
      </c>
      <c r="J98" s="411">
        <f t="shared" si="31"/>
        <v>862.03056454890577</v>
      </c>
      <c r="K98" s="411">
        <f t="shared" si="31"/>
        <v>921.76049084517399</v>
      </c>
      <c r="L98" s="411">
        <f t="shared" si="31"/>
        <v>960.33251227255425</v>
      </c>
      <c r="M98" s="411">
        <f t="shared" si="31"/>
        <v>1005.2256675465102</v>
      </c>
      <c r="N98" s="411">
        <f t="shared" si="31"/>
        <v>1055.9334263116807</v>
      </c>
      <c r="O98" s="411">
        <f t="shared" si="31"/>
        <v>1106.1206412637921</v>
      </c>
      <c r="P98" s="411">
        <f t="shared" si="31"/>
        <v>1160.8662073880485</v>
      </c>
      <c r="Q98" s="411">
        <f t="shared" si="31"/>
        <v>1505.1234407567988</v>
      </c>
      <c r="R98" s="411">
        <f t="shared" si="31"/>
        <v>1854.1415526062963</v>
      </c>
      <c r="S98" s="411">
        <f t="shared" si="31"/>
        <v>1923.2367744894632</v>
      </c>
      <c r="T98" s="411">
        <f t="shared" si="31"/>
        <v>1996.6233107456769</v>
      </c>
      <c r="U98" s="411">
        <f t="shared" si="31"/>
        <v>2074.6634190213363</v>
      </c>
      <c r="W98" s="177">
        <f>SUM(B98:U98)</f>
        <v>20264.09175301978</v>
      </c>
    </row>
    <row r="99" spans="1:23" ht="13.5" thickTop="1">
      <c r="A99" s="380"/>
      <c r="B99" s="375"/>
      <c r="C99" s="375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3" ht="13.5" thickBot="1">
      <c r="A100" s="14" t="s">
        <v>206</v>
      </c>
      <c r="B100" s="411">
        <f>B79+B98</f>
        <v>825.78928699342396</v>
      </c>
      <c r="C100" s="411">
        <f t="shared" ref="C100:U100" si="32">C79+C98</f>
        <v>534.01303238912465</v>
      </c>
      <c r="D100" s="411">
        <f t="shared" si="32"/>
        <v>779.17554645805308</v>
      </c>
      <c r="E100" s="411">
        <f t="shared" si="32"/>
        <v>1024.6228197785165</v>
      </c>
      <c r="F100" s="411">
        <f t="shared" si="32"/>
        <v>1281.2286443393159</v>
      </c>
      <c r="G100" s="411">
        <f t="shared" si="32"/>
        <v>1429.5575270711115</v>
      </c>
      <c r="H100" s="411">
        <f t="shared" si="32"/>
        <v>1540.3350017430375</v>
      </c>
      <c r="I100" s="411">
        <f t="shared" si="32"/>
        <v>1623.6374823483679</v>
      </c>
      <c r="J100" s="411">
        <f t="shared" si="32"/>
        <v>1723.663664058696</v>
      </c>
      <c r="K100" s="411">
        <f t="shared" si="32"/>
        <v>1829.2481132334685</v>
      </c>
      <c r="L100" s="411">
        <f t="shared" si="32"/>
        <v>1896.2381945068787</v>
      </c>
      <c r="M100" s="411">
        <f t="shared" si="32"/>
        <v>1975.7758678869254</v>
      </c>
      <c r="N100" s="411">
        <f t="shared" si="32"/>
        <v>2064.0709102644564</v>
      </c>
      <c r="O100" s="411">
        <f t="shared" si="32"/>
        <v>2152.9025995239317</v>
      </c>
      <c r="P100" s="411">
        <f t="shared" si="32"/>
        <v>2248.2862370429684</v>
      </c>
      <c r="Q100" s="411">
        <f t="shared" si="32"/>
        <v>2638.7015920553158</v>
      </c>
      <c r="R100" s="411">
        <f t="shared" si="32"/>
        <v>3037.4749337338635</v>
      </c>
      <c r="S100" s="411">
        <f t="shared" si="32"/>
        <v>3158.7754343732013</v>
      </c>
      <c r="T100" s="411">
        <f t="shared" si="32"/>
        <v>3287.6095758007764</v>
      </c>
      <c r="U100" s="411">
        <f t="shared" si="32"/>
        <v>3424.6133214402671</v>
      </c>
      <c r="W100" s="177">
        <f>SUM(B100:U100)</f>
        <v>38475.719785041707</v>
      </c>
    </row>
    <row r="101" spans="1:23" ht="13.5" thickTop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S9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7.28515625" style="6" customWidth="1"/>
    <col min="2" max="21" width="10.7109375" style="6" customWidth="1"/>
    <col min="22" max="22" width="9.140625" style="96"/>
    <col min="23" max="23" width="11.425781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84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4330.12</v>
      </c>
      <c r="AA7" s="166">
        <f>C10</f>
        <v>4460.0235999999995</v>
      </c>
      <c r="AB7" s="166">
        <f>D10</f>
        <v>4593.8243080000002</v>
      </c>
      <c r="AC7" s="166">
        <f t="shared" ref="AC7:AS7" si="0">E10</f>
        <v>4731.6390372399992</v>
      </c>
      <c r="AD7" s="166">
        <f t="shared" si="0"/>
        <v>4873.5882083571996</v>
      </c>
      <c r="AE7" s="166">
        <f t="shared" si="0"/>
        <v>5019.7958546079153</v>
      </c>
      <c r="AF7" s="166">
        <f t="shared" si="0"/>
        <v>5170.3897302461537</v>
      </c>
      <c r="AG7" s="166">
        <f t="shared" si="0"/>
        <v>5325.5014221535375</v>
      </c>
      <c r="AH7" s="166">
        <f t="shared" si="0"/>
        <v>5485.2664648181426</v>
      </c>
      <c r="AI7" s="166">
        <f t="shared" si="0"/>
        <v>5649.8244587626887</v>
      </c>
      <c r="AJ7" s="166">
        <f t="shared" si="0"/>
        <v>5819.3191925255687</v>
      </c>
      <c r="AK7" s="166">
        <f t="shared" si="0"/>
        <v>5993.8987683013347</v>
      </c>
      <c r="AL7" s="166">
        <f t="shared" si="0"/>
        <v>6173.7157313503749</v>
      </c>
      <c r="AM7" s="166">
        <f t="shared" si="0"/>
        <v>6358.9272032908866</v>
      </c>
      <c r="AN7" s="166">
        <f t="shared" si="0"/>
        <v>6549.6950193896137</v>
      </c>
      <c r="AO7" s="166">
        <f t="shared" si="0"/>
        <v>6746.1858699713002</v>
      </c>
      <c r="AP7" s="166">
        <f t="shared" si="0"/>
        <v>6948.5714460704403</v>
      </c>
      <c r="AQ7" s="166">
        <f t="shared" si="0"/>
        <v>7157.0285894525532</v>
      </c>
      <c r="AR7" s="166">
        <f t="shared" si="0"/>
        <v>7371.7394471361295</v>
      </c>
      <c r="AS7" s="166">
        <f t="shared" si="0"/>
        <v>7592.8916305502144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0">
        <v>0</v>
      </c>
      <c r="Z8" s="338">
        <f>B17+1/3*B18</f>
        <v>4330.12</v>
      </c>
      <c r="AA8" s="338">
        <f>C17+1/3*C18</f>
        <v>4460.0236000000004</v>
      </c>
      <c r="AB8" s="338">
        <f>D17+1/3*D18</f>
        <v>4593.8243080000002</v>
      </c>
      <c r="AC8" s="338">
        <f t="shared" ref="AC8:AS8" si="1">E17+1/3*E18</f>
        <v>4731.6390372399992</v>
      </c>
      <c r="AD8" s="338">
        <f t="shared" si="1"/>
        <v>4873.5882083571996</v>
      </c>
      <c r="AE8" s="338">
        <f t="shared" si="1"/>
        <v>5019.7958546079153</v>
      </c>
      <c r="AF8" s="338">
        <f t="shared" si="1"/>
        <v>5170.3897302461537</v>
      </c>
      <c r="AG8" s="338">
        <f t="shared" si="1"/>
        <v>5325.5014221535375</v>
      </c>
      <c r="AH8" s="338">
        <f t="shared" si="1"/>
        <v>5485.2664648181426</v>
      </c>
      <c r="AI8" s="338">
        <f t="shared" si="1"/>
        <v>5649.8244587626887</v>
      </c>
      <c r="AJ8" s="338">
        <f t="shared" si="1"/>
        <v>5819.3191925255687</v>
      </c>
      <c r="AK8" s="338">
        <f t="shared" si="1"/>
        <v>5993.8987683013347</v>
      </c>
      <c r="AL8" s="338">
        <f t="shared" si="1"/>
        <v>6173.7157313503749</v>
      </c>
      <c r="AM8" s="338">
        <f t="shared" si="1"/>
        <v>6358.9272032908866</v>
      </c>
      <c r="AN8" s="338">
        <f t="shared" si="1"/>
        <v>6549.6950193896137</v>
      </c>
      <c r="AO8" s="338">
        <f t="shared" si="1"/>
        <v>6746.1858699713002</v>
      </c>
      <c r="AP8" s="338">
        <f t="shared" si="1"/>
        <v>6948.5714460704403</v>
      </c>
      <c r="AQ8" s="338">
        <f t="shared" si="1"/>
        <v>7157.0285894525532</v>
      </c>
      <c r="AR8" s="338">
        <f t="shared" si="1"/>
        <v>7371.7394471361295</v>
      </c>
      <c r="AS8" s="338">
        <f t="shared" si="1"/>
        <v>7592.8916305502144</v>
      </c>
    </row>
    <row r="9" spans="1:45">
      <c r="A9" s="175" t="s">
        <v>51</v>
      </c>
      <c r="B9" s="180">
        <f>'Power Price Assumption'!C44*Assumptions!$E$9*12</f>
        <v>42593.431976310887</v>
      </c>
      <c r="C9" s="180">
        <f>'Power Price Assumption'!D44*Assumptions!$E$9*12</f>
        <v>44590.819300692703</v>
      </c>
      <c r="D9" s="180">
        <f>'Power Price Assumption'!E44*Assumptions!$E$9*12</f>
        <v>46681.872618597205</v>
      </c>
      <c r="E9" s="180">
        <f>'Power Price Assumption'!F44*Assumptions!$E$9*12</f>
        <v>48870.984327150094</v>
      </c>
      <c r="F9" s="180">
        <f>'Power Price Assumption'!G44*Assumptions!$E$9*12</f>
        <v>51162.7528016746</v>
      </c>
      <c r="G9" s="180">
        <f>'Power Price Assumption'!H44*Assumptions!$E$9*12</f>
        <v>52194.062403645206</v>
      </c>
      <c r="H9" s="180">
        <f>'Power Price Assumption'!I44*Assumptions!$E$9*12</f>
        <v>53246.160556600138</v>
      </c>
      <c r="I9" s="180">
        <f>'Power Price Assumption'!J44*Assumptions!$E$9*12</f>
        <v>54319.46630429817</v>
      </c>
      <c r="J9" s="180">
        <f>'Power Price Assumption'!K44*Assumptions!$E$9*12</f>
        <v>55414.40713734318</v>
      </c>
      <c r="K9" s="180">
        <f>'Power Price Assumption'!L44*Assumptions!$E$9*12</f>
        <v>56531.419163450977</v>
      </c>
      <c r="L9" s="180">
        <f>'Power Price Assumption'!M44*Assumptions!$E$9*12</f>
        <v>57643.022453635509</v>
      </c>
      <c r="M9" s="180">
        <f>'Power Price Assumption'!N44*Assumptions!$E$9*12</f>
        <v>58776.483710469969</v>
      </c>
      <c r="N9" s="180">
        <f>'Power Price Assumption'!O44*Assumptions!$E$9*12</f>
        <v>59932.232737203711</v>
      </c>
      <c r="O9" s="180">
        <f>'Power Price Assumption'!P44*Assumptions!$E$9*12</f>
        <v>61110.707788504937</v>
      </c>
      <c r="P9" s="180">
        <f>'Power Price Assumption'!Q44*Assumptions!$E$9*12</f>
        <v>62312.355736644997</v>
      </c>
      <c r="Q9" s="180">
        <f>'Power Price Assumption'!R44*Assumptions!$E$9*12</f>
        <v>63270.978088780772</v>
      </c>
      <c r="R9" s="180">
        <f>'Power Price Assumption'!S44*Assumptions!$E$9*12</f>
        <v>64244.348026738808</v>
      </c>
      <c r="S9" s="180">
        <f>'Power Price Assumption'!T44*Assumptions!$E$9*12</f>
        <v>65232.692429526382</v>
      </c>
      <c r="T9" s="180">
        <f>'Power Price Assumption'!U44*Assumptions!$E$9*12</f>
        <v>66236.241666490401</v>
      </c>
      <c r="U9" s="180">
        <f>'Power Price Assumption'!V44*Assumptions!$E$9*12</f>
        <v>67255.229651013404</v>
      </c>
      <c r="V9" s="339"/>
      <c r="W9" s="172">
        <f>SUM(B9:U9)</f>
        <v>1131619.6688787721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1/3*Assumptions!$E$18*Assumptions!$E$11*Assumptions!$E$8/1000*(1+Assumptions!$E$25)^(B5-2000)+Assumptions!$E$19*Assumptions!$E$17*(1+Assumptions!$E$25)^(B5-2000)/1000</f>
        <v>4330.12</v>
      </c>
      <c r="C10" s="161">
        <f>1/3*Assumptions!$E$18*Assumptions!$E$11*Assumptions!$E$8/1000*(1+Assumptions!$E$25)^(C5-2000)+Assumptions!$E$19*Assumptions!$E$17*(1+Assumptions!$E$25)^(C5-2000)/1000</f>
        <v>4460.0235999999995</v>
      </c>
      <c r="D10" s="161">
        <f>1/3*Assumptions!$E$18*Assumptions!$E$11*Assumptions!$E$8/1000*(1+Assumptions!$E$25)^(D5-2000)+Assumptions!$E$19*Assumptions!$E$17*(1+Assumptions!$E$25)^(D5-2000)/1000</f>
        <v>4593.8243080000002</v>
      </c>
      <c r="E10" s="161">
        <f>1/3*Assumptions!$E$18*Assumptions!$E$11*Assumptions!$E$8/1000*(1+Assumptions!$E$25)^(E5-2000)+Assumptions!$E$19*Assumptions!$E$17*(1+Assumptions!$E$25)^(E5-2000)/1000</f>
        <v>4731.6390372399992</v>
      </c>
      <c r="F10" s="161">
        <f>1/3*Assumptions!$E$18*Assumptions!$E$11*Assumptions!$E$8/1000*(1+Assumptions!$E$25)^(F5-2000)+Assumptions!$E$19*Assumptions!$E$17*(1+Assumptions!$E$25)^(F5-2000)/1000</f>
        <v>4873.5882083571996</v>
      </c>
      <c r="G10" s="161">
        <f>1/3*Assumptions!$E$18*Assumptions!$E$11*Assumptions!$E$8/1000*(1+Assumptions!$E$25)^(G5-2000)+Assumptions!$E$19*Assumptions!$E$17*(1+Assumptions!$E$25)^(G5-2000)/1000</f>
        <v>5019.7958546079153</v>
      </c>
      <c r="H10" s="161">
        <f>1/3*Assumptions!$E$18*Assumptions!$E$11*Assumptions!$E$8/1000*(1+Assumptions!$E$25)^(H5-2000)+Assumptions!$E$19*Assumptions!$E$17*(1+Assumptions!$E$25)^(H5-2000)/1000</f>
        <v>5170.3897302461537</v>
      </c>
      <c r="I10" s="161">
        <f>1/3*Assumptions!$E$18*Assumptions!$E$11*Assumptions!$E$8/1000*(1+Assumptions!$E$25)^(I5-2000)+Assumptions!$E$19*Assumptions!$E$17*(1+Assumptions!$E$25)^(I5-2000)/1000</f>
        <v>5325.5014221535375</v>
      </c>
      <c r="J10" s="161">
        <f>1/3*Assumptions!$E$18*Assumptions!$E$11*Assumptions!$E$8/1000*(1+Assumptions!$E$25)^(J5-2000)+Assumptions!$E$19*Assumptions!$E$17*(1+Assumptions!$E$25)^(J5-2000)/1000</f>
        <v>5485.2664648181426</v>
      </c>
      <c r="K10" s="161">
        <f>1/3*Assumptions!$E$18*Assumptions!$E$11*Assumptions!$E$8/1000*(1+Assumptions!$E$25)^(K5-2000)+Assumptions!$E$19*Assumptions!$E$17*(1+Assumptions!$E$25)^(K5-2000)/1000</f>
        <v>5649.8244587626887</v>
      </c>
      <c r="L10" s="161">
        <f>1/3*Assumptions!$E$18*Assumptions!$E$11*Assumptions!$E$8/1000*(1+Assumptions!$E$25)^(L5-2000)+Assumptions!$E$19*Assumptions!$E$17*(1+Assumptions!$E$25)^(L5-2000)/1000</f>
        <v>5819.3191925255687</v>
      </c>
      <c r="M10" s="161">
        <f>1/3*Assumptions!$E$18*Assumptions!$E$11*Assumptions!$E$8/1000*(1+Assumptions!$E$25)^(M5-2000)+Assumptions!$E$19*Assumptions!$E$17*(1+Assumptions!$E$25)^(M5-2000)/1000</f>
        <v>5993.8987683013347</v>
      </c>
      <c r="N10" s="161">
        <f>1/3*Assumptions!$E$18*Assumptions!$E$11*Assumptions!$E$8/1000*(1+Assumptions!$E$25)^(N5-2000)+Assumptions!$E$19*Assumptions!$E$17*(1+Assumptions!$E$25)^(N5-2000)/1000</f>
        <v>6173.7157313503749</v>
      </c>
      <c r="O10" s="161">
        <f>1/3*Assumptions!$E$18*Assumptions!$E$11*Assumptions!$E$8/1000*(1+Assumptions!$E$25)^(O5-2000)+Assumptions!$E$19*Assumptions!$E$17*(1+Assumptions!$E$25)^(O5-2000)/1000</f>
        <v>6358.9272032908866</v>
      </c>
      <c r="P10" s="161">
        <f>1/3*Assumptions!$E$18*Assumptions!$E$11*Assumptions!$E$8/1000*(1+Assumptions!$E$25)^(P5-2000)+Assumptions!$E$19*Assumptions!$E$17*(1+Assumptions!$E$25)^(P5-2000)/1000</f>
        <v>6549.6950193896137</v>
      </c>
      <c r="Q10" s="161">
        <f>1/3*Assumptions!$E$18*Assumptions!$E$11*Assumptions!$E$8/1000*(1+Assumptions!$E$25)^(Q5-2000)+Assumptions!$E$19*Assumptions!$E$17*(1+Assumptions!$E$25)^(Q5-2000)/1000</f>
        <v>6746.1858699713002</v>
      </c>
      <c r="R10" s="161">
        <f>1/3*Assumptions!$E$18*Assumptions!$E$11*Assumptions!$E$8/1000*(1+Assumptions!$E$25)^(R5-2000)+Assumptions!$E$19*Assumptions!$E$17*(1+Assumptions!$E$25)^(R5-2000)/1000</f>
        <v>6948.5714460704403</v>
      </c>
      <c r="S10" s="161">
        <f>1/3*Assumptions!$E$18*Assumptions!$E$11*Assumptions!$E$8/1000*(1+Assumptions!$E$25)^(S5-2000)+Assumptions!$E$19*Assumptions!$E$17*(1+Assumptions!$E$25)^(S5-2000)/1000</f>
        <v>7157.0285894525532</v>
      </c>
      <c r="T10" s="161">
        <f>1/3*Assumptions!$E$18*Assumptions!$E$11*Assumptions!$E$8/1000*(1+Assumptions!$E$25)^(T5-2000)+Assumptions!$E$19*Assumptions!$E$17*(1+Assumptions!$E$25)^(T5-2000)/1000</f>
        <v>7371.7394471361295</v>
      </c>
      <c r="U10" s="161">
        <f>1/3*Assumptions!$E$18*Assumptions!$E$11*Assumptions!$E$8/1000*(1+Assumptions!$E$25)^(U5-2000)+Assumptions!$E$19*Assumptions!$E$17*(1+Assumptions!$E$25)^(U5-2000)/1000</f>
        <v>7592.8916305502144</v>
      </c>
      <c r="V10" s="339"/>
      <c r="W10" s="172">
        <f>SUM(B10:U10)</f>
        <v>116351.94598222408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492.71660388470247</v>
      </c>
      <c r="C12" s="272">
        <f>(SUM(C8:C10)-SUM(C16:C21))*'Summary Output'!$B$24/4</f>
        <v>517.87036468408405</v>
      </c>
      <c r="D12" s="272">
        <f>(SUM(D8:D10)-SUM(D16:D21))*'Summary Output'!$B$24/4</f>
        <v>542.96746994060811</v>
      </c>
      <c r="E12" s="272">
        <f>(SUM(E8:E10)-SUM(E16:E21))*'Summary Output'!$B$24/4</f>
        <v>569.26096074371867</v>
      </c>
      <c r="F12" s="272">
        <f>(SUM(F8:F10)-SUM(F16:F21))*'Summary Output'!$B$24/4</f>
        <v>596.80751145486033</v>
      </c>
      <c r="G12" s="272">
        <f>(SUM(G8:G10)-SUM(G16:G21))*'Summary Output'!$B$24/4</f>
        <v>608.56609710246585</v>
      </c>
      <c r="H12" s="272">
        <f>(SUM(H8:H10)-SUM(H16:H21))*'Summary Output'!$B$24/4</f>
        <v>620.71020610606467</v>
      </c>
      <c r="I12" s="272">
        <f>(SUM(I8:I10)-SUM(I16:I21))*'Summary Output'!$B$24/4</f>
        <v>633.08919650670202</v>
      </c>
      <c r="J12" s="272">
        <f>(SUM(J8:J10)-SUM(J16:J21))*'Summary Output'!$B$24/4</f>
        <v>645.70750553080904</v>
      </c>
      <c r="K12" s="272">
        <f>(SUM(K8:K10)-SUM(K16:K21))*'Summary Output'!$B$24/4</f>
        <v>658.56965092653218</v>
      </c>
      <c r="L12" s="272">
        <f>(SUM(L8:L10)-SUM(L16:L21))*'Summary Output'!$B$24/4</f>
        <v>671.33117197529566</v>
      </c>
      <c r="M12" s="272">
        <f>(SUM(M8:M10)-SUM(M16:M21))*'Summary Output'!$B$24/4</f>
        <v>684.33191200482713</v>
      </c>
      <c r="N12" s="272">
        <f>(SUM(N8:N10)-SUM(N16:N21))*'Summary Output'!$B$24/4</f>
        <v>697.5762233876726</v>
      </c>
      <c r="O12" s="272">
        <f>(SUM(O8:O10)-SUM(O16:O21))*'Summary Output'!$B$24/4</f>
        <v>711.06853353407189</v>
      </c>
      <c r="P12" s="272">
        <f>(SUM(P8:P10)-SUM(P16:P21))*'Summary Output'!$B$24/4</f>
        <v>724.81334605111044</v>
      </c>
      <c r="Q12" s="272">
        <f>(SUM(Q8:Q10)-SUM(Q16:Q21))*'Summary Output'!$B$24/4</f>
        <v>735.48206501305424</v>
      </c>
      <c r="R12" s="272">
        <f>(SUM(R8:R10)-SUM(R16:R21))*'Summary Output'!$B$24/4</f>
        <v>746.29570698458338</v>
      </c>
      <c r="S12" s="272">
        <f>(SUM(S8:S10)-SUM(S16:S21))*'Summary Output'!$B$24/4</f>
        <v>757.25592529889377</v>
      </c>
      <c r="T12" s="272">
        <f>(SUM(T8:T10)-SUM(T16:T21))*'Summary Output'!$B$24/4</f>
        <v>768.36438143879354</v>
      </c>
      <c r="U12" s="272">
        <f>(SUM(U8:U10)-SUM(U16:U21))*'Summary Output'!$B$24/4</f>
        <v>779.62274464351617</v>
      </c>
      <c r="V12" s="339"/>
      <c r="W12" s="172">
        <f>SUM(B12:U12)</f>
        <v>13162.407577212369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47416.268580195589</v>
      </c>
      <c r="C13" s="204">
        <f t="shared" si="3"/>
        <v>49568.713265376791</v>
      </c>
      <c r="D13" s="204">
        <f t="shared" si="3"/>
        <v>51818.664396537817</v>
      </c>
      <c r="E13" s="204">
        <f t="shared" si="3"/>
        <v>54171.884325133811</v>
      </c>
      <c r="F13" s="204">
        <f t="shared" si="3"/>
        <v>56633.148521486663</v>
      </c>
      <c r="G13" s="204">
        <f t="shared" si="3"/>
        <v>57822.424355355586</v>
      </c>
      <c r="H13" s="204">
        <f t="shared" si="3"/>
        <v>59037.260492952359</v>
      </c>
      <c r="I13" s="204">
        <f t="shared" si="3"/>
        <v>60278.056922958407</v>
      </c>
      <c r="J13" s="204">
        <f t="shared" si="3"/>
        <v>61545.381107692134</v>
      </c>
      <c r="K13" s="204">
        <f t="shared" si="3"/>
        <v>62839.8132731402</v>
      </c>
      <c r="L13" s="204">
        <f t="shared" si="3"/>
        <v>64133.672818136372</v>
      </c>
      <c r="M13" s="204">
        <f t="shared" si="3"/>
        <v>65454.714390776127</v>
      </c>
      <c r="N13" s="204">
        <f t="shared" si="3"/>
        <v>66803.524691941755</v>
      </c>
      <c r="O13" s="204">
        <f t="shared" si="3"/>
        <v>68180.703525329896</v>
      </c>
      <c r="P13" s="204">
        <f t="shared" si="3"/>
        <v>69586.864102085732</v>
      </c>
      <c r="Q13" s="204">
        <f t="shared" si="3"/>
        <v>70752.646023765134</v>
      </c>
      <c r="R13" s="204">
        <f t="shared" si="3"/>
        <v>71939.215179793828</v>
      </c>
      <c r="S13" s="204">
        <f t="shared" si="3"/>
        <v>73146.97694427782</v>
      </c>
      <c r="T13" s="204">
        <f t="shared" si="3"/>
        <v>74376.345495065325</v>
      </c>
      <c r="U13" s="204">
        <f t="shared" si="3"/>
        <v>75627.744026207147</v>
      </c>
      <c r="V13" s="339"/>
      <c r="W13" s="172">
        <f>SUM(B13:U13)</f>
        <v>1261134.0224382083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Assumptions!E28*(1+Assumptions!$E$25)</f>
        <v>1491.9967885714286</v>
      </c>
      <c r="C16" s="172">
        <f>B16*(1+Assumptions!$E$25)</f>
        <v>1536.7566922285714</v>
      </c>
      <c r="D16" s="172">
        <f>C16*(1+Assumptions!$E$25)</f>
        <v>1582.8593929954286</v>
      </c>
      <c r="E16" s="172">
        <f>D16*(1+Assumptions!$E$25)</f>
        <v>1630.3451747852914</v>
      </c>
      <c r="F16" s="172">
        <f>E16*(1+Assumptions!$E$25)</f>
        <v>1679.2555300288502</v>
      </c>
      <c r="G16" s="172">
        <f>F16*(1+Assumptions!$E$25)</f>
        <v>1729.6331959297158</v>
      </c>
      <c r="H16" s="172">
        <f>G16*(1+Assumptions!$E$25)</f>
        <v>1781.5221918076074</v>
      </c>
      <c r="I16" s="172">
        <f>H16*(1+Assumptions!$E$25)</f>
        <v>1834.9678575618357</v>
      </c>
      <c r="J16" s="172">
        <f>I16*(1+Assumptions!$E$25)</f>
        <v>1890.0168932886909</v>
      </c>
      <c r="K16" s="172">
        <f>J16*(1+Assumptions!$E$25)</f>
        <v>1946.7174000873517</v>
      </c>
      <c r="L16" s="172">
        <f>K16*(1+Assumptions!$E$25)</f>
        <v>2005.1189220899723</v>
      </c>
      <c r="M16" s="172">
        <f>L16*(1+Assumptions!$E$25)</f>
        <v>2065.2724897526714</v>
      </c>
      <c r="N16" s="172">
        <f>M16*(1+Assumptions!$E$25)</f>
        <v>2127.2306644452515</v>
      </c>
      <c r="O16" s="172">
        <f>N16*(1+Assumptions!$E$25)</f>
        <v>2191.0475843786089</v>
      </c>
      <c r="P16" s="172">
        <f>O16*(1+Assumptions!$E$25)</f>
        <v>2256.7790119099673</v>
      </c>
      <c r="Q16" s="172">
        <f>P16*(1+Assumptions!$E$25)</f>
        <v>2324.4823822672665</v>
      </c>
      <c r="R16" s="172">
        <f>Q16*(1+Assumptions!$E$25)</f>
        <v>2394.2168537352845</v>
      </c>
      <c r="S16" s="172">
        <f>R16*(1+Assumptions!$E$25)</f>
        <v>2466.0433593473431</v>
      </c>
      <c r="T16" s="172">
        <f>S16*(1+Assumptions!$E$25)</f>
        <v>2540.0246601277636</v>
      </c>
      <c r="U16" s="172">
        <f>T16*(1+Assumptions!$E$25)</f>
        <v>2616.2253999315967</v>
      </c>
      <c r="V16" s="96"/>
      <c r="W16" s="172">
        <f t="shared" ref="W16:W22" si="4">SUM(B16:U16)</f>
        <v>40090.512445270491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Assumptions!$E$29*(1+Assumptions!$E$25)</f>
        <v>4124.12</v>
      </c>
      <c r="C17" s="204">
        <f>B17*(1+Assumptions!$E$25)</f>
        <v>4247.8436000000002</v>
      </c>
      <c r="D17" s="204">
        <f>C17*(1+Assumptions!$E$25)</f>
        <v>4375.2789080000002</v>
      </c>
      <c r="E17" s="161">
        <f>Assumptions!$E$19*Assumptions!$E$23*(1+Assumptions!$E$25)^(E5-2000)/1000</f>
        <v>4506.537275239999</v>
      </c>
      <c r="F17" s="161">
        <f>Assumptions!$E$19*Assumptions!$E$23*(1+Assumptions!$E$25)^(F5-2000)/1000</f>
        <v>4641.7333934971994</v>
      </c>
      <c r="G17" s="161">
        <f>Assumptions!$E$19*Assumptions!$E$23*(1+Assumptions!$E$25)^(G5-2000)/1000</f>
        <v>4780.9853953021156</v>
      </c>
      <c r="H17" s="161">
        <f>Assumptions!$E$19*Assumptions!$E$23*(1+Assumptions!$E$25)^(H5-2000)/1000</f>
        <v>4924.4149571611797</v>
      </c>
      <c r="I17" s="161">
        <f>Assumptions!$E$19*Assumptions!$E$23*(1+Assumptions!$E$25)^(I5-2000)/1000</f>
        <v>5072.1474058760141</v>
      </c>
      <c r="J17" s="161">
        <f>Assumptions!$E$19*Assumptions!$E$23*(1+Assumptions!$E$25)^(J5-2000)/1000</f>
        <v>5224.311828052294</v>
      </c>
      <c r="K17" s="161">
        <f>Assumptions!$E$19*Assumptions!$E$23*(1+Assumptions!$E$25)^(K5-2000)/1000</f>
        <v>5381.0411828938641</v>
      </c>
      <c r="L17" s="161">
        <f>Assumptions!$E$19*Assumptions!$E$23*(1+Assumptions!$E$25)^(L5-2000)/1000</f>
        <v>5542.4724183806793</v>
      </c>
      <c r="M17" s="161">
        <f>Assumptions!$E$19*Assumptions!$E$23*(1+Assumptions!$E$25)^(M5-2000)/1000</f>
        <v>5708.746590932099</v>
      </c>
      <c r="N17" s="161">
        <f>Assumptions!$E$19*Assumptions!$E$23*(1+Assumptions!$E$25)^(N5-2000)/1000</f>
        <v>5880.0089886600617</v>
      </c>
      <c r="O17" s="161">
        <f>Assumptions!$E$19*Assumptions!$E$23*(1+Assumptions!$E$25)^(O5-2000)/1000</f>
        <v>6056.4092583198644</v>
      </c>
      <c r="P17" s="161">
        <f>Assumptions!$E$19*Assumptions!$E$23*(1+Assumptions!$E$25)^(P5-2000)/1000</f>
        <v>6238.101536069461</v>
      </c>
      <c r="Q17" s="161">
        <f>Assumptions!$E$19*Assumptions!$E$23*(1+Assumptions!$E$25)^(Q5-2000)/1000</f>
        <v>6425.244582151543</v>
      </c>
      <c r="R17" s="161">
        <f>Assumptions!$E$19*Assumptions!$E$23*(1+Assumptions!$E$25)^(R5-2000)/1000</f>
        <v>6618.0019196160902</v>
      </c>
      <c r="S17" s="161">
        <f>Assumptions!$E$19*Assumptions!$E$23*(1+Assumptions!$E$25)^(S5-2000)/1000</f>
        <v>6816.5419772045725</v>
      </c>
      <c r="T17" s="161">
        <f>Assumptions!$E$19*Assumptions!$E$23*(1+Assumptions!$E$25)^(T5-2000)/1000</f>
        <v>7021.0382365207097</v>
      </c>
      <c r="U17" s="161">
        <f>Assumptions!$E$19*Assumptions!$E$23*(1+Assumptions!$E$25)^(U5-2000)/1000</f>
        <v>7231.6693836163313</v>
      </c>
      <c r="V17" s="96"/>
      <c r="W17" s="172">
        <f t="shared" si="4"/>
        <v>110816.64883749407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Assumptions!$E$24*Assumptions!$E$11*Assumptions!$E$8/1000*(1+Assumptions!$E$25)</f>
        <v>618</v>
      </c>
      <c r="C18" s="172">
        <f>B18*(1+Assumptions!$E$25)</f>
        <v>636.54</v>
      </c>
      <c r="D18" s="172">
        <f>C18*(1+Assumptions!$E$25)</f>
        <v>655.63620000000003</v>
      </c>
      <c r="E18" s="172">
        <f>D18*(1+Assumptions!$E$25)</f>
        <v>675.30528600000002</v>
      </c>
      <c r="F18" s="172">
        <f>E18*(1+Assumptions!$E$25)</f>
        <v>695.56444457999999</v>
      </c>
      <c r="G18" s="172">
        <f>F18*(1+Assumptions!$E$25)</f>
        <v>716.43137791740003</v>
      </c>
      <c r="H18" s="172">
        <f>G18*(1+Assumptions!$E$25)</f>
        <v>737.92431925492201</v>
      </c>
      <c r="I18" s="172">
        <f>H18*(1+Assumptions!$E$25)</f>
        <v>760.06204883256964</v>
      </c>
      <c r="J18" s="172">
        <f>I18*(1+Assumptions!$E$25)</f>
        <v>782.86391029754679</v>
      </c>
      <c r="K18" s="172">
        <f>J18*(1+Assumptions!$E$25)</f>
        <v>806.34982760647324</v>
      </c>
      <c r="L18" s="172">
        <f>K18*(1+Assumptions!$E$25)</f>
        <v>830.54032243466747</v>
      </c>
      <c r="M18" s="172">
        <f>L18*(1+Assumptions!$E$25)</f>
        <v>855.45653210770752</v>
      </c>
      <c r="N18" s="172">
        <f>M18*(1+Assumptions!$E$25)</f>
        <v>881.12022807093877</v>
      </c>
      <c r="O18" s="172">
        <f>N18*(1+Assumptions!$E$25)</f>
        <v>907.55383491306691</v>
      </c>
      <c r="P18" s="172">
        <f>O18*(1+Assumptions!$E$25)</f>
        <v>934.7804499604589</v>
      </c>
      <c r="Q18" s="172">
        <f>P18*(1+Assumptions!$E$25)</f>
        <v>962.82386345927273</v>
      </c>
      <c r="R18" s="172">
        <f>Q18*(1+Assumptions!$E$25)</f>
        <v>991.70857936305094</v>
      </c>
      <c r="S18" s="172">
        <f>R18*(1+Assumptions!$E$25)</f>
        <v>1021.4598367439424</v>
      </c>
      <c r="T18" s="172">
        <f>S18*(1+Assumptions!$E$25)</f>
        <v>1052.1036318462607</v>
      </c>
      <c r="U18" s="172">
        <f>T18*(1+Assumptions!$E$25)</f>
        <v>1083.6667408016485</v>
      </c>
      <c r="V18" s="96"/>
      <c r="W18" s="172">
        <f t="shared" si="4"/>
        <v>16605.891434189925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Assumptions!E31*(1+Assumptions!$E$25)</f>
        <v>412.66655714285713</v>
      </c>
      <c r="C19" s="172">
        <f>B19*(1+Assumptions!$E$25)</f>
        <v>425.04655385714284</v>
      </c>
      <c r="D19" s="172">
        <f>C19*(1+Assumptions!$E$25)</f>
        <v>437.79795047285711</v>
      </c>
      <c r="E19" s="172">
        <f>D19*(1+Assumptions!$E$25)</f>
        <v>450.93188898704284</v>
      </c>
      <c r="F19" s="172">
        <f>E19*(1+Assumptions!$E$25)</f>
        <v>464.45984565665412</v>
      </c>
      <c r="G19" s="172">
        <f>F19*(1+Assumptions!$E$25)</f>
        <v>478.39364102635375</v>
      </c>
      <c r="H19" s="172">
        <f>G19*(1+Assumptions!$E$25)</f>
        <v>492.7454502571444</v>
      </c>
      <c r="I19" s="172">
        <f>H19*(1+Assumptions!$E$25)</f>
        <v>507.52781376485876</v>
      </c>
      <c r="J19" s="172">
        <f>I19*(1+Assumptions!$E$25)</f>
        <v>522.75364817780451</v>
      </c>
      <c r="K19" s="172">
        <f>J19*(1+Assumptions!$E$25)</f>
        <v>538.43625762313866</v>
      </c>
      <c r="L19" s="172">
        <f>K19*(1+Assumptions!$E$25)</f>
        <v>554.58934535183278</v>
      </c>
      <c r="M19" s="172">
        <f>L19*(1+Assumptions!$E$25)</f>
        <v>571.22702571238779</v>
      </c>
      <c r="N19" s="172">
        <f>M19*(1+Assumptions!$E$25)</f>
        <v>588.36383648375943</v>
      </c>
      <c r="O19" s="172">
        <f>N19*(1+Assumptions!$E$25)</f>
        <v>606.01475157827224</v>
      </c>
      <c r="P19" s="172">
        <f>O19*(1+Assumptions!$E$25)</f>
        <v>624.19519412562045</v>
      </c>
      <c r="Q19" s="172">
        <f>P19*(1+Assumptions!$E$25)</f>
        <v>642.92104994938904</v>
      </c>
      <c r="R19" s="172">
        <f>Q19*(1+Assumptions!$E$25)</f>
        <v>662.20868144787073</v>
      </c>
      <c r="S19" s="172">
        <f>R19*(1+Assumptions!$E$25)</f>
        <v>682.07494189130682</v>
      </c>
      <c r="T19" s="172">
        <f>S19*(1+Assumptions!$E$25)</f>
        <v>702.53719014804608</v>
      </c>
      <c r="U19" s="172">
        <f>T19*(1+Assumptions!$E$25)</f>
        <v>723.61330585248743</v>
      </c>
      <c r="V19" s="96"/>
      <c r="W19" s="172">
        <f t="shared" si="4"/>
        <v>11088.504929506827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572</v>
      </c>
      <c r="C20" s="341">
        <v>583.4</v>
      </c>
      <c r="D20" s="341">
        <v>595.1</v>
      </c>
      <c r="E20" s="341">
        <v>607</v>
      </c>
      <c r="F20" s="341">
        <v>619.1</v>
      </c>
      <c r="G20" s="341">
        <v>631.5</v>
      </c>
      <c r="H20" s="341">
        <v>631.5</v>
      </c>
      <c r="I20" s="341">
        <v>631.5</v>
      </c>
      <c r="J20" s="341">
        <v>631.5</v>
      </c>
      <c r="K20" s="341">
        <v>631.5</v>
      </c>
      <c r="L20" s="341">
        <v>631.5</v>
      </c>
      <c r="M20" s="341">
        <v>631.5</v>
      </c>
      <c r="N20" s="341">
        <v>631.5</v>
      </c>
      <c r="O20" s="341">
        <v>631.5</v>
      </c>
      <c r="P20" s="341">
        <v>631.5</v>
      </c>
      <c r="Q20" s="341">
        <v>631.5</v>
      </c>
      <c r="R20" s="341">
        <v>631.5</v>
      </c>
      <c r="S20" s="341">
        <v>631.5</v>
      </c>
      <c r="T20" s="341">
        <v>631.5</v>
      </c>
      <c r="U20" s="341">
        <v>631.5</v>
      </c>
      <c r="V20" s="96"/>
      <c r="W20" s="172">
        <f t="shared" si="4"/>
        <v>12449.1</v>
      </c>
    </row>
    <row r="21" spans="1:45">
      <c r="A21" s="391" t="s">
        <v>168</v>
      </c>
      <c r="B21" s="179">
        <f>B72</f>
        <v>287.44031982040451</v>
      </c>
      <c r="C21" s="179">
        <f t="shared" ref="C21:U21" si="5">C72</f>
        <v>191.62687988026968</v>
      </c>
      <c r="D21" s="179">
        <f t="shared" si="5"/>
        <v>191.62687988026968</v>
      </c>
      <c r="E21" s="179">
        <f t="shared" si="5"/>
        <v>191.62687988026968</v>
      </c>
      <c r="F21" s="179">
        <f t="shared" si="5"/>
        <v>191.62687988026968</v>
      </c>
      <c r="G21" s="179">
        <f t="shared" si="5"/>
        <v>191.62687988026968</v>
      </c>
      <c r="H21" s="179">
        <f t="shared" si="5"/>
        <v>191.62687988026968</v>
      </c>
      <c r="I21" s="179">
        <f t="shared" si="5"/>
        <v>191.62687988026968</v>
      </c>
      <c r="J21" s="179">
        <f t="shared" si="5"/>
        <v>191.62687988026968</v>
      </c>
      <c r="K21" s="179">
        <f t="shared" si="5"/>
        <v>191.62687988026968</v>
      </c>
      <c r="L21" s="179">
        <f t="shared" si="5"/>
        <v>191.62687988026968</v>
      </c>
      <c r="M21" s="179">
        <f t="shared" si="5"/>
        <v>191.62687988026968</v>
      </c>
      <c r="N21" s="179">
        <f t="shared" si="5"/>
        <v>191.62687988026968</v>
      </c>
      <c r="O21" s="179">
        <f t="shared" si="5"/>
        <v>191.62687988026968</v>
      </c>
      <c r="P21" s="179">
        <f t="shared" si="5"/>
        <v>191.62687988026968</v>
      </c>
      <c r="Q21" s="179">
        <f t="shared" si="5"/>
        <v>191.62687988026968</v>
      </c>
      <c r="R21" s="179">
        <f t="shared" si="5"/>
        <v>191.62687988026968</v>
      </c>
      <c r="S21" s="179">
        <f t="shared" si="5"/>
        <v>191.62687988026968</v>
      </c>
      <c r="T21" s="179">
        <f t="shared" si="5"/>
        <v>191.62687988026968</v>
      </c>
      <c r="U21" s="179">
        <f t="shared" si="5"/>
        <v>191.62687988026968</v>
      </c>
      <c r="V21" s="172"/>
      <c r="W21" s="172">
        <f t="shared" si="4"/>
        <v>3928.3510375455294</v>
      </c>
    </row>
    <row r="22" spans="1:45">
      <c r="A22" s="175" t="s">
        <v>55</v>
      </c>
      <c r="B22" s="161">
        <f t="shared" ref="B22:U22" si="6">SUM(B16:B21)</f>
        <v>7506.2236655346906</v>
      </c>
      <c r="C22" s="161">
        <f t="shared" si="6"/>
        <v>7621.213725965983</v>
      </c>
      <c r="D22" s="161">
        <f t="shared" si="6"/>
        <v>7838.2993313485558</v>
      </c>
      <c r="E22" s="161">
        <f t="shared" si="6"/>
        <v>8061.7465048926024</v>
      </c>
      <c r="F22" s="161">
        <f t="shared" si="6"/>
        <v>8291.7400936429749</v>
      </c>
      <c r="G22" s="161">
        <f t="shared" si="6"/>
        <v>8528.5704900558558</v>
      </c>
      <c r="H22" s="161">
        <f t="shared" si="6"/>
        <v>8759.7337983611251</v>
      </c>
      <c r="I22" s="161">
        <f t="shared" si="6"/>
        <v>8997.8320059155485</v>
      </c>
      <c r="J22" s="161">
        <f t="shared" si="6"/>
        <v>9243.073159696607</v>
      </c>
      <c r="K22" s="161">
        <f t="shared" si="6"/>
        <v>9495.6715480910971</v>
      </c>
      <c r="L22" s="161">
        <f t="shared" si="6"/>
        <v>9755.8478881374231</v>
      </c>
      <c r="M22" s="161">
        <f t="shared" si="6"/>
        <v>10023.829518385135</v>
      </c>
      <c r="N22" s="161">
        <f t="shared" si="6"/>
        <v>10299.85059754028</v>
      </c>
      <c r="O22" s="161">
        <f t="shared" si="6"/>
        <v>10584.152309070083</v>
      </c>
      <c r="P22" s="161">
        <f t="shared" si="6"/>
        <v>10876.983071945779</v>
      </c>
      <c r="Q22" s="161">
        <f t="shared" si="6"/>
        <v>11178.598757707741</v>
      </c>
      <c r="R22" s="161">
        <f t="shared" si="6"/>
        <v>11489.262914042567</v>
      </c>
      <c r="S22" s="161">
        <f t="shared" si="6"/>
        <v>11809.246995067437</v>
      </c>
      <c r="T22" s="161">
        <f t="shared" si="6"/>
        <v>12138.830598523051</v>
      </c>
      <c r="U22" s="161">
        <f t="shared" si="6"/>
        <v>12478.301710082334</v>
      </c>
      <c r="W22" s="172">
        <f t="shared" si="4"/>
        <v>194979.00868400687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39910.044914660895</v>
      </c>
      <c r="C25" s="168">
        <f t="shared" si="7"/>
        <v>41947.499539410812</v>
      </c>
      <c r="D25" s="168">
        <f t="shared" si="7"/>
        <v>43980.36506518926</v>
      </c>
      <c r="E25" s="168">
        <f t="shared" si="7"/>
        <v>46110.137820241209</v>
      </c>
      <c r="F25" s="168">
        <f t="shared" si="7"/>
        <v>48341.408427843686</v>
      </c>
      <c r="G25" s="168">
        <f t="shared" si="7"/>
        <v>49293.85386529973</v>
      </c>
      <c r="H25" s="168">
        <f t="shared" si="7"/>
        <v>50277.52669459123</v>
      </c>
      <c r="I25" s="168">
        <f t="shared" si="7"/>
        <v>51280.224917042855</v>
      </c>
      <c r="J25" s="168">
        <f t="shared" si="7"/>
        <v>52302.307947995527</v>
      </c>
      <c r="K25" s="168">
        <f t="shared" si="7"/>
        <v>53344.141725049107</v>
      </c>
      <c r="L25" s="168">
        <f t="shared" si="7"/>
        <v>54377.824929998947</v>
      </c>
      <c r="M25" s="168">
        <f t="shared" si="7"/>
        <v>55430.88487239099</v>
      </c>
      <c r="N25" s="168">
        <f t="shared" si="7"/>
        <v>56503.674094401475</v>
      </c>
      <c r="O25" s="168">
        <f t="shared" si="7"/>
        <v>57596.551216259817</v>
      </c>
      <c r="P25" s="168">
        <f t="shared" si="7"/>
        <v>58709.88103013995</v>
      </c>
      <c r="Q25" s="168">
        <f t="shared" si="7"/>
        <v>59574.047266057394</v>
      </c>
      <c r="R25" s="168">
        <f t="shared" si="7"/>
        <v>60449.952265751257</v>
      </c>
      <c r="S25" s="168">
        <f t="shared" si="7"/>
        <v>61337.729949210385</v>
      </c>
      <c r="T25" s="168">
        <f t="shared" si="7"/>
        <v>62237.51489654227</v>
      </c>
      <c r="U25" s="168">
        <f t="shared" si="7"/>
        <v>63149.442316124812</v>
      </c>
      <c r="V25" s="307"/>
      <c r="W25" s="172">
        <f>SUM(B25:U25)</f>
        <v>1066155.0137542016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Depreciation!C29</f>
        <v>10302.767234421894</v>
      </c>
      <c r="C27" s="161">
        <f>Depreciation!D29</f>
        <v>10302.767234421894</v>
      </c>
      <c r="D27" s="161">
        <f>Depreciation!E29</f>
        <v>10302.767234421894</v>
      </c>
      <c r="E27" s="161">
        <f>Depreciation!F29</f>
        <v>10302.767234421894</v>
      </c>
      <c r="F27" s="161">
        <f>Depreciation!G29</f>
        <v>10302.767234421894</v>
      </c>
      <c r="G27" s="161">
        <f>Depreciation!H29</f>
        <v>10302.767234421894</v>
      </c>
      <c r="H27" s="161">
        <f>Depreciation!I29</f>
        <v>10302.767234421894</v>
      </c>
      <c r="I27" s="161">
        <f>Depreciation!J29</f>
        <v>10302.767234421894</v>
      </c>
      <c r="J27" s="161">
        <f>Depreciation!K29</f>
        <v>10302.767234421894</v>
      </c>
      <c r="K27" s="161">
        <f>Depreciation!L29</f>
        <v>10302.767234421894</v>
      </c>
      <c r="L27" s="161">
        <f>Depreciation!M29</f>
        <v>10302.767234421894</v>
      </c>
      <c r="M27" s="161">
        <f>Depreciation!N29</f>
        <v>10302.767234421894</v>
      </c>
      <c r="N27" s="161">
        <f>Depreciation!O29</f>
        <v>10302.767234421894</v>
      </c>
      <c r="O27" s="161">
        <f>Depreciation!P29</f>
        <v>10302.767234421894</v>
      </c>
      <c r="P27" s="161">
        <f>Depreciation!Q29</f>
        <v>10302.767234421894</v>
      </c>
      <c r="Q27" s="161">
        <f>Depreciation!R29</f>
        <v>10302.767234421894</v>
      </c>
      <c r="R27" s="161">
        <f>Depreciation!S29</f>
        <v>10302.767234421894</v>
      </c>
      <c r="S27" s="161">
        <f>Depreciation!T29</f>
        <v>10302.767234421894</v>
      </c>
      <c r="T27" s="161">
        <f>Depreciation!U29</f>
        <v>10302.767234421894</v>
      </c>
      <c r="U27" s="161">
        <f>Depreciation!V29</f>
        <v>10302.767234421894</v>
      </c>
      <c r="V27" s="96"/>
      <c r="W27" s="172">
        <f>SUM(B27:U27)</f>
        <v>206055.34468843782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29607.277680239</v>
      </c>
      <c r="C29" s="344">
        <f t="shared" si="8"/>
        <v>31644.732304988916</v>
      </c>
      <c r="D29" s="344">
        <f t="shared" si="8"/>
        <v>33677.597830767365</v>
      </c>
      <c r="E29" s="344">
        <f t="shared" si="8"/>
        <v>35807.370585819313</v>
      </c>
      <c r="F29" s="344">
        <f t="shared" si="8"/>
        <v>38038.64119342179</v>
      </c>
      <c r="G29" s="344">
        <f t="shared" si="8"/>
        <v>38991.086630877835</v>
      </c>
      <c r="H29" s="344">
        <f t="shared" si="8"/>
        <v>39974.759460169334</v>
      </c>
      <c r="I29" s="344">
        <f t="shared" si="8"/>
        <v>40977.45768262096</v>
      </c>
      <c r="J29" s="344">
        <f t="shared" si="8"/>
        <v>41999.540713573631</v>
      </c>
      <c r="K29" s="344">
        <f t="shared" si="8"/>
        <v>43041.374490627211</v>
      </c>
      <c r="L29" s="344">
        <f t="shared" si="8"/>
        <v>44075.057695577052</v>
      </c>
      <c r="M29" s="344">
        <f t="shared" si="8"/>
        <v>45128.117637969095</v>
      </c>
      <c r="N29" s="344">
        <f t="shared" si="8"/>
        <v>46200.906859979579</v>
      </c>
      <c r="O29" s="344">
        <f t="shared" si="8"/>
        <v>47293.783981837922</v>
      </c>
      <c r="P29" s="344">
        <f t="shared" si="8"/>
        <v>48407.113795718054</v>
      </c>
      <c r="Q29" s="344">
        <f t="shared" si="8"/>
        <v>49271.280031635499</v>
      </c>
      <c r="R29" s="344">
        <f t="shared" si="8"/>
        <v>50147.185031329362</v>
      </c>
      <c r="S29" s="344">
        <f t="shared" si="8"/>
        <v>51034.962714788489</v>
      </c>
      <c r="T29" s="344">
        <f t="shared" si="8"/>
        <v>51934.747662120375</v>
      </c>
      <c r="U29" s="344">
        <f t="shared" si="8"/>
        <v>52846.675081702917</v>
      </c>
      <c r="V29" s="307"/>
      <c r="W29" s="172">
        <f>SUM(B29:U29)</f>
        <v>860099.66906576371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IS!B33*Allocation!$E$8</f>
        <v>15097.119057362675</v>
      </c>
      <c r="C31" s="161">
        <f>IS!C33*Allocation!$E$8</f>
        <v>14831.263621452541</v>
      </c>
      <c r="D31" s="161">
        <f>IS!D33*Allocation!$E$8</f>
        <v>14481.9064267414</v>
      </c>
      <c r="E31" s="161">
        <f>IS!E33*Allocation!$E$8</f>
        <v>14120.613880947418</v>
      </c>
      <c r="F31" s="161">
        <f>IS!F33*Allocation!$E$8</f>
        <v>13618.819987274404</v>
      </c>
      <c r="G31" s="161">
        <f>IS!G33*Allocation!$E$8</f>
        <v>13100.618667848716</v>
      </c>
      <c r="H31" s="161">
        <f>IS!H33*Allocation!$E$8</f>
        <v>12569.035750363902</v>
      </c>
      <c r="I31" s="161">
        <f>IS!I33*Allocation!$E$8</f>
        <v>12051.074096720075</v>
      </c>
      <c r="J31" s="161">
        <f>IS!J33*Allocation!$E$8</f>
        <v>11440.938267805641</v>
      </c>
      <c r="K31" s="161">
        <f>IS!K33*Allocation!$E$8</f>
        <v>10830.567995506166</v>
      </c>
      <c r="L31" s="161">
        <f>IS!L33*Allocation!$E$8</f>
        <v>10177.998505117068</v>
      </c>
      <c r="M31" s="161">
        <f>IS!M33*Allocation!$E$8</f>
        <v>9497.7747813276001</v>
      </c>
      <c r="N31" s="161">
        <f>IS!N33*Allocation!$E$8</f>
        <v>8711.2941100750304</v>
      </c>
      <c r="O31" s="161">
        <f>IS!O33*Allocation!$E$8</f>
        <v>7890.6916333133813</v>
      </c>
      <c r="P31" s="161">
        <f>IS!P33*Allocation!$E$8</f>
        <v>7000.1947649179228</v>
      </c>
      <c r="Q31" s="161">
        <f>IS!Q33*Allocation!$E$8</f>
        <v>6048.2219187499149</v>
      </c>
      <c r="R31" s="161">
        <f>IS!R33*Allocation!$E$8</f>
        <v>4969.0992556774208</v>
      </c>
      <c r="S31" s="161">
        <f>IS!S33*Allocation!$E$8</f>
        <v>3806.7681731191105</v>
      </c>
      <c r="T31" s="161">
        <f>IS!T33*Allocation!$E$8</f>
        <v>2531.0437787867409</v>
      </c>
      <c r="U31" s="161">
        <f>IS!U33*Allocation!$E$8</f>
        <v>1131.5618933511178</v>
      </c>
      <c r="V31" s="96"/>
      <c r="W31" s="172">
        <f>SUM(B31:U31)</f>
        <v>193906.60656645824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14510.158622876324</v>
      </c>
      <c r="C33" s="344">
        <f t="shared" si="9"/>
        <v>16813.468683536375</v>
      </c>
      <c r="D33" s="344">
        <f t="shared" si="9"/>
        <v>19195.691404025965</v>
      </c>
      <c r="E33" s="344">
        <f t="shared" si="9"/>
        <v>21686.756704871896</v>
      </c>
      <c r="F33" s="344">
        <f t="shared" si="9"/>
        <v>24419.821206147386</v>
      </c>
      <c r="G33" s="344">
        <f t="shared" si="9"/>
        <v>25890.467963029121</v>
      </c>
      <c r="H33" s="344">
        <f t="shared" si="9"/>
        <v>27405.723709805432</v>
      </c>
      <c r="I33" s="344">
        <f t="shared" si="9"/>
        <v>28926.383585900883</v>
      </c>
      <c r="J33" s="344">
        <f t="shared" si="9"/>
        <v>30558.602445767989</v>
      </c>
      <c r="K33" s="344">
        <f t="shared" si="9"/>
        <v>32210.806495121047</v>
      </c>
      <c r="L33" s="344">
        <f t="shared" si="9"/>
        <v>33897.059190459986</v>
      </c>
      <c r="M33" s="344">
        <f t="shared" si="9"/>
        <v>35630.342856641495</v>
      </c>
      <c r="N33" s="344">
        <f t="shared" si="9"/>
        <v>37489.612749904547</v>
      </c>
      <c r="O33" s="344">
        <f t="shared" si="9"/>
        <v>39403.092348524544</v>
      </c>
      <c r="P33" s="344">
        <f t="shared" si="9"/>
        <v>41406.919030800134</v>
      </c>
      <c r="Q33" s="344">
        <f t="shared" si="9"/>
        <v>43223.058112885585</v>
      </c>
      <c r="R33" s="344">
        <f t="shared" si="9"/>
        <v>45178.08577565194</v>
      </c>
      <c r="S33" s="344">
        <f t="shared" si="9"/>
        <v>47228.194541669378</v>
      </c>
      <c r="T33" s="344">
        <f t="shared" si="9"/>
        <v>49403.703883333634</v>
      </c>
      <c r="U33" s="344">
        <f t="shared" si="9"/>
        <v>51715.113188351796</v>
      </c>
      <c r="V33" s="307"/>
      <c r="W33" s="172">
        <f>SUM(B33:U33)</f>
        <v>666193.06249930547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B33*-Assumptions!$E$38</f>
        <v>-1041.8293891225201</v>
      </c>
      <c r="C35" s="161">
        <f>C33*-Assumptions!$E$38</f>
        <v>-1207.2070514779118</v>
      </c>
      <c r="D35" s="161">
        <f>D33*-Assumptions!$E$38</f>
        <v>-1378.2506428090644</v>
      </c>
      <c r="E35" s="161">
        <f>E33*-Assumptions!$E$38</f>
        <v>-1557.1091314098021</v>
      </c>
      <c r="F35" s="161">
        <f>F33*-Assumptions!$E$38</f>
        <v>-1753.3431626013823</v>
      </c>
      <c r="G35" s="161">
        <f>G33*-Assumptions!$E$38</f>
        <v>-1858.9355997454909</v>
      </c>
      <c r="H35" s="161">
        <f>H33*-Assumptions!$E$38</f>
        <v>-1967.7309623640301</v>
      </c>
      <c r="I35" s="161">
        <f>I33*-Assumptions!$E$38</f>
        <v>-2076.9143414676837</v>
      </c>
      <c r="J35" s="161">
        <f>J33*-Assumptions!$E$38</f>
        <v>-2194.1076556061416</v>
      </c>
      <c r="K35" s="161">
        <f>K33*-Assumptions!$E$38</f>
        <v>-2312.735906349691</v>
      </c>
      <c r="L35" s="161">
        <f>L33*-Assumptions!$E$38</f>
        <v>-2433.8088498750271</v>
      </c>
      <c r="M35" s="161">
        <f>M33*-Assumptions!$E$38</f>
        <v>-2558.2586171068592</v>
      </c>
      <c r="N35" s="161">
        <f>N33*-Assumptions!$E$38</f>
        <v>-2691.7541954431467</v>
      </c>
      <c r="O35" s="161">
        <f>O33*-Assumptions!$E$38</f>
        <v>-2829.1420306240625</v>
      </c>
      <c r="P35" s="161">
        <f>P33*-Assumptions!$E$38</f>
        <v>-2973.0167864114496</v>
      </c>
      <c r="Q35" s="161">
        <f>Q33*-Assumptions!$E$38</f>
        <v>-3103.4155725051851</v>
      </c>
      <c r="R35" s="161">
        <f>R33*-Assumptions!$E$38</f>
        <v>-3243.7865586918092</v>
      </c>
      <c r="S35" s="161">
        <f>S33*-Assumptions!$E$38</f>
        <v>-3390.9843680918616</v>
      </c>
      <c r="T35" s="161">
        <f>T33*-Assumptions!$E$38</f>
        <v>-3547.1859388233552</v>
      </c>
      <c r="U35" s="161">
        <f>U33*-Assumptions!$E$38</f>
        <v>-3713.1451269236591</v>
      </c>
      <c r="V35" s="96"/>
      <c r="W35" s="172">
        <f>SUM(B35:U35)</f>
        <v>-47832.661887450136</v>
      </c>
    </row>
    <row r="36" spans="1:23" s="307" customFormat="1">
      <c r="A36" s="175" t="s">
        <v>62</v>
      </c>
      <c r="B36" s="347">
        <f>(B33+B35)*-Assumptions!$E$37</f>
        <v>-4713.9152318138313</v>
      </c>
      <c r="C36" s="347">
        <f>(C33+C35)*-Assumptions!$E$37</f>
        <v>-5462.1915712204618</v>
      </c>
      <c r="D36" s="347">
        <f>(D33+D35)*-Assumptions!$E$37</f>
        <v>-6236.1042664259148</v>
      </c>
      <c r="E36" s="347">
        <f>(E33+E35)*-Assumptions!$E$37</f>
        <v>-7045.3766507117325</v>
      </c>
      <c r="F36" s="347">
        <f>(F33+F35)*-Assumptions!$E$37</f>
        <v>-7933.2673152411016</v>
      </c>
      <c r="G36" s="347">
        <f>(G33+G35)*-Assumptions!$E$37</f>
        <v>-8411.0363271492697</v>
      </c>
      <c r="H36" s="347">
        <f>(H33+H35)*-Assumptions!$E$37</f>
        <v>-8903.2974616044903</v>
      </c>
      <c r="I36" s="347">
        <f>(I33+I35)*-Assumptions!$E$37</f>
        <v>-9397.3142355516193</v>
      </c>
      <c r="J36" s="347">
        <f>(J33+J35)*-Assumptions!$E$37</f>
        <v>-9927.5731765566452</v>
      </c>
      <c r="K36" s="347">
        <f>(K33+K35)*-Assumptions!$E$37</f>
        <v>-10464.324706069974</v>
      </c>
      <c r="L36" s="347">
        <f>(L33+L35)*-Assumptions!$E$37</f>
        <v>-11012.137619204736</v>
      </c>
      <c r="M36" s="347">
        <f>(M33+M35)*-Assumptions!$E$37</f>
        <v>-11575.229483837122</v>
      </c>
      <c r="N36" s="347">
        <f>(N33+N35)*-Assumptions!$E$37</f>
        <v>-12179.250494061491</v>
      </c>
      <c r="O36" s="347">
        <f>(O33+O35)*-Assumptions!$E$37</f>
        <v>-12800.882611265168</v>
      </c>
      <c r="P36" s="347">
        <f>(P33+P35)*-Assumptions!$E$37</f>
        <v>-13451.86578553604</v>
      </c>
      <c r="Q36" s="347">
        <f>(Q33+Q35)*-Assumptions!$E$37</f>
        <v>-14041.87488913314</v>
      </c>
      <c r="R36" s="347">
        <f>(R33+R35)*-Assumptions!$E$37</f>
        <v>-14677.004725936044</v>
      </c>
      <c r="S36" s="347">
        <f>(S33+S35)*-Assumptions!$E$37</f>
        <v>-15343.023560752128</v>
      </c>
      <c r="T36" s="347">
        <f>(T33+T35)*-Assumptions!$E$37</f>
        <v>-16049.781280578596</v>
      </c>
      <c r="U36" s="347">
        <f>(U33+U35)*-Assumptions!$E$37</f>
        <v>-16800.688821499847</v>
      </c>
      <c r="V36" s="96"/>
      <c r="W36" s="172">
        <f>SUM(B36:U36)</f>
        <v>-216426.14021414937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8754.4140019399729</v>
      </c>
      <c r="C38" s="348">
        <f t="shared" si="10"/>
        <v>10144.070060838003</v>
      </c>
      <c r="D38" s="348">
        <f t="shared" si="10"/>
        <v>11581.336494790987</v>
      </c>
      <c r="E38" s="348">
        <f t="shared" si="10"/>
        <v>13084.270922750362</v>
      </c>
      <c r="F38" s="348">
        <f t="shared" si="10"/>
        <v>14733.210728304904</v>
      </c>
      <c r="G38" s="348">
        <f t="shared" si="10"/>
        <v>15620.49603613436</v>
      </c>
      <c r="H38" s="348">
        <f t="shared" si="10"/>
        <v>16534.695285836911</v>
      </c>
      <c r="I38" s="348">
        <f t="shared" si="10"/>
        <v>17452.155008881578</v>
      </c>
      <c r="J38" s="348">
        <f t="shared" si="10"/>
        <v>18436.921613605202</v>
      </c>
      <c r="K38" s="348">
        <f t="shared" si="10"/>
        <v>19433.745882701383</v>
      </c>
      <c r="L38" s="348">
        <f t="shared" si="10"/>
        <v>20451.112721380225</v>
      </c>
      <c r="M38" s="348">
        <f t="shared" si="10"/>
        <v>21496.85475569751</v>
      </c>
      <c r="N38" s="348">
        <f t="shared" si="10"/>
        <v>22618.608060399914</v>
      </c>
      <c r="O38" s="348">
        <f t="shared" si="10"/>
        <v>23773.067706635316</v>
      </c>
      <c r="P38" s="348">
        <f t="shared" si="10"/>
        <v>24982.036458852646</v>
      </c>
      <c r="Q38" s="348">
        <f t="shared" si="10"/>
        <v>26077.767651247261</v>
      </c>
      <c r="R38" s="348">
        <f t="shared" si="10"/>
        <v>27257.294491024084</v>
      </c>
      <c r="S38" s="348">
        <f t="shared" si="10"/>
        <v>28494.186612825386</v>
      </c>
      <c r="T38" s="348">
        <f t="shared" si="10"/>
        <v>29806.736663931682</v>
      </c>
      <c r="U38" s="348">
        <f t="shared" si="10"/>
        <v>31201.279239928292</v>
      </c>
      <c r="V38" s="349"/>
      <c r="W38" s="172">
        <f>SUM(B38:U38)</f>
        <v>401934.26039770601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340"/>
      <c r="B40" s="350"/>
      <c r="C40" s="351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39"/>
      <c r="W40" s="339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187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s="339" customFormat="1" ht="13.5" thickBot="1">
      <c r="A46" s="162" t="s">
        <v>49</v>
      </c>
      <c r="B46" s="163">
        <v>2001</v>
      </c>
      <c r="C46" s="163">
        <f>B46+1</f>
        <v>2002</v>
      </c>
      <c r="D46" s="163">
        <f t="shared" ref="D46:U46" si="11">C46+1</f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V46" s="96"/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68">
        <f t="shared" ref="B48:U48" si="12">B25</f>
        <v>39910.044914660895</v>
      </c>
      <c r="C48" s="268">
        <f t="shared" si="12"/>
        <v>41947.499539410812</v>
      </c>
      <c r="D48" s="268">
        <f t="shared" si="12"/>
        <v>43980.36506518926</v>
      </c>
      <c r="E48" s="268">
        <f t="shared" si="12"/>
        <v>46110.137820241209</v>
      </c>
      <c r="F48" s="268">
        <f t="shared" si="12"/>
        <v>48341.408427843686</v>
      </c>
      <c r="G48" s="268">
        <f t="shared" si="12"/>
        <v>49293.85386529973</v>
      </c>
      <c r="H48" s="268">
        <f t="shared" si="12"/>
        <v>50277.52669459123</v>
      </c>
      <c r="I48" s="268">
        <f t="shared" si="12"/>
        <v>51280.224917042855</v>
      </c>
      <c r="J48" s="268">
        <f t="shared" si="12"/>
        <v>52302.307947995527</v>
      </c>
      <c r="K48" s="268">
        <f t="shared" si="12"/>
        <v>53344.141725049107</v>
      </c>
      <c r="L48" s="268">
        <f t="shared" si="12"/>
        <v>54377.824929998947</v>
      </c>
      <c r="M48" s="268">
        <f t="shared" si="12"/>
        <v>55430.88487239099</v>
      </c>
      <c r="N48" s="268">
        <f t="shared" si="12"/>
        <v>56503.674094401475</v>
      </c>
      <c r="O48" s="268">
        <f t="shared" si="12"/>
        <v>57596.551216259817</v>
      </c>
      <c r="P48" s="268">
        <f t="shared" si="12"/>
        <v>58709.88103013995</v>
      </c>
      <c r="Q48" s="268">
        <f t="shared" si="12"/>
        <v>59574.047266057394</v>
      </c>
      <c r="R48" s="268">
        <f t="shared" si="12"/>
        <v>60449.952265751257</v>
      </c>
      <c r="S48" s="268">
        <f t="shared" si="12"/>
        <v>61337.729949210385</v>
      </c>
      <c r="T48" s="268">
        <f t="shared" si="12"/>
        <v>62237.51489654227</v>
      </c>
      <c r="U48" s="268">
        <f t="shared" si="12"/>
        <v>63149.442316124812</v>
      </c>
      <c r="W48" s="177">
        <f>SUM(B48:U48)</f>
        <v>1066155.0137542016</v>
      </c>
    </row>
    <row r="49" spans="1:45">
      <c r="A49" s="266" t="s">
        <v>153</v>
      </c>
      <c r="B49" s="268">
        <f>B20</f>
        <v>572</v>
      </c>
      <c r="C49" s="268">
        <f t="shared" ref="C49:U49" si="13">C20</f>
        <v>583.4</v>
      </c>
      <c r="D49" s="268">
        <f t="shared" si="13"/>
        <v>595.1</v>
      </c>
      <c r="E49" s="268">
        <f t="shared" si="13"/>
        <v>607</v>
      </c>
      <c r="F49" s="268">
        <f t="shared" si="13"/>
        <v>619.1</v>
      </c>
      <c r="G49" s="268">
        <f t="shared" si="13"/>
        <v>631.5</v>
      </c>
      <c r="H49" s="268">
        <f t="shared" si="13"/>
        <v>631.5</v>
      </c>
      <c r="I49" s="268">
        <f t="shared" si="13"/>
        <v>631.5</v>
      </c>
      <c r="J49" s="268">
        <f t="shared" si="13"/>
        <v>631.5</v>
      </c>
      <c r="K49" s="268">
        <f t="shared" si="13"/>
        <v>631.5</v>
      </c>
      <c r="L49" s="268">
        <f t="shared" si="13"/>
        <v>631.5</v>
      </c>
      <c r="M49" s="268">
        <f t="shared" si="13"/>
        <v>631.5</v>
      </c>
      <c r="N49" s="268">
        <f t="shared" si="13"/>
        <v>631.5</v>
      </c>
      <c r="O49" s="268">
        <f t="shared" si="13"/>
        <v>631.5</v>
      </c>
      <c r="P49" s="268">
        <f t="shared" si="13"/>
        <v>631.5</v>
      </c>
      <c r="Q49" s="268">
        <f t="shared" si="13"/>
        <v>631.5</v>
      </c>
      <c r="R49" s="268">
        <f t="shared" si="13"/>
        <v>631.5</v>
      </c>
      <c r="S49" s="268">
        <f t="shared" si="13"/>
        <v>631.5</v>
      </c>
      <c r="T49" s="268">
        <f t="shared" si="13"/>
        <v>631.5</v>
      </c>
      <c r="U49" s="268">
        <f t="shared" si="13"/>
        <v>631.5</v>
      </c>
      <c r="W49" s="177">
        <f>SUM(B49:U49)</f>
        <v>12449.1</v>
      </c>
    </row>
    <row r="50" spans="1:45">
      <c r="A50" s="266" t="s">
        <v>154</v>
      </c>
      <c r="B50" s="353">
        <v>-333.7</v>
      </c>
      <c r="C50" s="268">
        <f>-B49</f>
        <v>-572</v>
      </c>
      <c r="D50" s="268">
        <f t="shared" ref="D50:U50" si="14">-C49</f>
        <v>-583.4</v>
      </c>
      <c r="E50" s="268">
        <f t="shared" si="14"/>
        <v>-595.1</v>
      </c>
      <c r="F50" s="268">
        <f t="shared" si="14"/>
        <v>-607</v>
      </c>
      <c r="G50" s="268">
        <f t="shared" si="14"/>
        <v>-619.1</v>
      </c>
      <c r="H50" s="268">
        <f t="shared" si="14"/>
        <v>-631.5</v>
      </c>
      <c r="I50" s="268">
        <f t="shared" si="14"/>
        <v>-631.5</v>
      </c>
      <c r="J50" s="268">
        <f t="shared" si="14"/>
        <v>-631.5</v>
      </c>
      <c r="K50" s="268">
        <f t="shared" si="14"/>
        <v>-631.5</v>
      </c>
      <c r="L50" s="268">
        <f t="shared" si="14"/>
        <v>-631.5</v>
      </c>
      <c r="M50" s="268">
        <f t="shared" si="14"/>
        <v>-631.5</v>
      </c>
      <c r="N50" s="268">
        <f t="shared" si="14"/>
        <v>-631.5</v>
      </c>
      <c r="O50" s="268">
        <f t="shared" si="14"/>
        <v>-631.5</v>
      </c>
      <c r="P50" s="268">
        <f t="shared" si="14"/>
        <v>-631.5</v>
      </c>
      <c r="Q50" s="268">
        <f t="shared" si="14"/>
        <v>-631.5</v>
      </c>
      <c r="R50" s="268">
        <f t="shared" si="14"/>
        <v>-631.5</v>
      </c>
      <c r="S50" s="268">
        <f t="shared" si="14"/>
        <v>-631.5</v>
      </c>
      <c r="T50" s="268">
        <f t="shared" si="14"/>
        <v>-631.5</v>
      </c>
      <c r="U50" s="268">
        <f t="shared" si="14"/>
        <v>-631.5</v>
      </c>
      <c r="W50" s="177">
        <f>SUM(B50:U50)</f>
        <v>-12151.3</v>
      </c>
    </row>
    <row r="51" spans="1:45">
      <c r="A51" s="266" t="s">
        <v>64</v>
      </c>
      <c r="B51" s="354">
        <f>-Debt!B77*Allocation!$E$8</f>
        <v>-17803.427647900815</v>
      </c>
      <c r="C51" s="354">
        <f>-Debt!C77*Allocation!$E$8</f>
        <v>-17900.182186539907</v>
      </c>
      <c r="D51" s="354">
        <f>-Debt!D77*Allocation!$E$8</f>
        <v>-17984.188132143696</v>
      </c>
      <c r="E51" s="354">
        <f>-Debt!E77*Allocation!$E$8</f>
        <v>-18171.232621033916</v>
      </c>
      <c r="F51" s="354">
        <f>-Debt!F77*Allocation!$E$8</f>
        <v>-18306.21721925223</v>
      </c>
      <c r="G51" s="354">
        <f>-Debt!G77*Allocation!$E$8</f>
        <v>-17894.145648475096</v>
      </c>
      <c r="H51" s="354">
        <f>-Debt!H77*Allocation!$E$8</f>
        <v>-17530.601499683824</v>
      </c>
      <c r="I51" s="354">
        <f>-Debt!I77*Allocation!$E$8</f>
        <v>-17224.899343337111</v>
      </c>
      <c r="J51" s="354">
        <f>-Debt!J77*Allocation!$E$8</f>
        <v>-16906.6203232062</v>
      </c>
      <c r="K51" s="354">
        <f>-Debt!K77*Allocation!$E$8</f>
        <v>-16641.171734014526</v>
      </c>
      <c r="L51" s="354">
        <f>-Debt!L77*Allocation!$E$8</f>
        <v>-16375.453483495536</v>
      </c>
      <c r="M51" s="354">
        <f>-Debt!M77*Allocation!$E$8</f>
        <v>-16157.726399883566</v>
      </c>
      <c r="N51" s="354">
        <f>-Debt!N77*Allocation!$E$8</f>
        <v>-15889.241965629792</v>
      </c>
      <c r="O51" s="354">
        <f>-Debt!O77*Allocation!$E$8</f>
        <v>-15679.135053902441</v>
      </c>
      <c r="P51" s="354">
        <f>-Debt!P77*Allocation!$E$8</f>
        <v>-15454.633347362578</v>
      </c>
      <c r="Q51" s="354">
        <f>-Debt!Q77*Allocation!$E$8</f>
        <v>-15316.654587906969</v>
      </c>
      <c r="R51" s="354">
        <f>-Debt!R77*Allocation!$E$8</f>
        <v>-15107.025608368171</v>
      </c>
      <c r="S51" s="354">
        <f>-Debt!S77*Allocation!$E$8</f>
        <v>-14925.187402986156</v>
      </c>
      <c r="T51" s="354">
        <f>-Debt!T77*Allocation!$E$8</f>
        <v>-14759.45494507978</v>
      </c>
      <c r="U51" s="354">
        <f>-Debt!U77*Allocation!$E$8</f>
        <v>-14599.464055319851</v>
      </c>
      <c r="W51" s="177">
        <f>SUM(B51:U51)</f>
        <v>-330626.66320552217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22344.917266760083</v>
      </c>
      <c r="C53" s="355">
        <f t="shared" si="15"/>
        <v>24058.717352870906</v>
      </c>
      <c r="D53" s="355">
        <f t="shared" si="15"/>
        <v>26007.876933045562</v>
      </c>
      <c r="E53" s="355">
        <f t="shared" si="15"/>
        <v>27950.805199207294</v>
      </c>
      <c r="F53" s="355">
        <f t="shared" si="15"/>
        <v>30047.291208591454</v>
      </c>
      <c r="G53" s="355">
        <f t="shared" si="15"/>
        <v>31412.108216824636</v>
      </c>
      <c r="H53" s="355">
        <f t="shared" si="15"/>
        <v>32746.925194907406</v>
      </c>
      <c r="I53" s="355">
        <f t="shared" si="15"/>
        <v>34055.325573705748</v>
      </c>
      <c r="J53" s="355">
        <f t="shared" si="15"/>
        <v>35395.687624789323</v>
      </c>
      <c r="K53" s="355">
        <f t="shared" si="15"/>
        <v>36702.969991034581</v>
      </c>
      <c r="L53" s="355">
        <f t="shared" si="15"/>
        <v>38002.371446503414</v>
      </c>
      <c r="M53" s="355">
        <f t="shared" si="15"/>
        <v>39273.158472507421</v>
      </c>
      <c r="N53" s="355">
        <f t="shared" si="15"/>
        <v>40614.432128771681</v>
      </c>
      <c r="O53" s="355">
        <f t="shared" si="15"/>
        <v>41917.416162357375</v>
      </c>
      <c r="P53" s="355">
        <f t="shared" si="15"/>
        <v>43255.247682777372</v>
      </c>
      <c r="Q53" s="355">
        <f t="shared" si="15"/>
        <v>44257.392678150427</v>
      </c>
      <c r="R53" s="355">
        <f t="shared" si="15"/>
        <v>45342.926657383083</v>
      </c>
      <c r="S53" s="355">
        <f t="shared" si="15"/>
        <v>46412.542546224227</v>
      </c>
      <c r="T53" s="355">
        <f t="shared" si="15"/>
        <v>47478.059951462492</v>
      </c>
      <c r="U53" s="355">
        <f t="shared" si="15"/>
        <v>48549.978260804957</v>
      </c>
      <c r="V53" s="307"/>
      <c r="W53" s="177">
        <f>SUM(B53:U53)</f>
        <v>735826.15054867952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2">
        <f>-B91</f>
        <v>-548.67026416819215</v>
      </c>
      <c r="C55" s="392">
        <f t="shared" ref="C55:U55" si="16">-C91</f>
        <v>0</v>
      </c>
      <c r="D55" s="392">
        <f t="shared" si="16"/>
        <v>0</v>
      </c>
      <c r="E55" s="392">
        <f t="shared" si="16"/>
        <v>-12.359154204281822</v>
      </c>
      <c r="F55" s="392">
        <f t="shared" si="16"/>
        <v>-784.28548206612777</v>
      </c>
      <c r="G55" s="392">
        <f t="shared" si="16"/>
        <v>-1062.4836129442515</v>
      </c>
      <c r="H55" s="392">
        <f t="shared" si="16"/>
        <v>-1252.6502311802549</v>
      </c>
      <c r="I55" s="392">
        <f t="shared" si="16"/>
        <v>-1359.3678146591365</v>
      </c>
      <c r="J55" s="392">
        <f t="shared" si="16"/>
        <v>-1479.0269244223666</v>
      </c>
      <c r="K55" s="392">
        <f t="shared" si="16"/>
        <v>-1595.1893795411443</v>
      </c>
      <c r="L55" s="392">
        <f t="shared" si="16"/>
        <v>-1718.7281186912519</v>
      </c>
      <c r="M55" s="392">
        <f t="shared" si="16"/>
        <v>-1840.7120902983124</v>
      </c>
      <c r="N55" s="392">
        <f t="shared" si="16"/>
        <v>-1976.6734642593715</v>
      </c>
      <c r="O55" s="392">
        <f t="shared" si="16"/>
        <v>-2111.5955038155153</v>
      </c>
      <c r="P55" s="392">
        <f t="shared" si="16"/>
        <v>-2257.9360552276748</v>
      </c>
      <c r="Q55" s="392">
        <f t="shared" si="16"/>
        <v>-3115.7445506290433</v>
      </c>
      <c r="R55" s="392">
        <f t="shared" si="16"/>
        <v>-3983.5252461233017</v>
      </c>
      <c r="S55" s="392">
        <f t="shared" si="16"/>
        <v>-4130.7230555233537</v>
      </c>
      <c r="T55" s="392">
        <f t="shared" si="16"/>
        <v>-4286.9246262548468</v>
      </c>
      <c r="U55" s="392">
        <f t="shared" si="16"/>
        <v>-4452.8838143551511</v>
      </c>
      <c r="W55" s="177">
        <f>SUM(B55:U55)</f>
        <v>-37969.479388363572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-Allocation!$E$8*Tax!B24</f>
        <v>-3106.9812729348282</v>
      </c>
      <c r="C56" s="356">
        <f>-Allocation!$E$8*Tax!C24</f>
        <v>0</v>
      </c>
      <c r="D56" s="356">
        <f>-Allocation!$E$8*Tax!D24</f>
        <v>-250.14505352783684</v>
      </c>
      <c r="E56" s="356">
        <f>-Allocation!$E$8*Tax!E24</f>
        <v>-2802.4009289566698</v>
      </c>
      <c r="F56" s="356">
        <f>-Allocation!$E$8*Tax!F24</f>
        <v>-4470.9990179513079</v>
      </c>
      <c r="G56" s="356">
        <f>-Allocation!$E$8*Tax!G24</f>
        <v>-5603.3663884998487</v>
      </c>
      <c r="H56" s="356">
        <f>-Allocation!$E$8*Tax!H24</f>
        <v>-6375.433930905383</v>
      </c>
      <c r="I56" s="356">
        <f>-Allocation!$E$8*Tax!I24</f>
        <v>-6810.1047147531326</v>
      </c>
      <c r="J56" s="356">
        <f>-Allocation!$E$8*Tax!J24</f>
        <v>-7312.9118682275057</v>
      </c>
      <c r="K56" s="356">
        <f>-Allocation!$E$8*Tax!K24</f>
        <v>-7810.5566830537209</v>
      </c>
      <c r="L56" s="356">
        <f>-Allocation!$E$8*Tax!L24</f>
        <v>-8308.0112182698613</v>
      </c>
      <c r="M56" s="356">
        <f>-Allocation!$E$8*Tax!M24</f>
        <v>-8818.7991136146484</v>
      </c>
      <c r="N56" s="356">
        <f>-Allocation!$E$8*Tax!N24</f>
        <v>-9343.8925142031258</v>
      </c>
      <c r="O56" s="356">
        <f>-Allocation!$E$8*Tax!O24</f>
        <v>-9910.268881803464</v>
      </c>
      <c r="P56" s="356">
        <f>-Allocation!$E$8*Tax!P24</f>
        <v>-10467.903328050765</v>
      </c>
      <c r="Q56" s="356">
        <f>-Allocation!$E$8*Tax!Q24</f>
        <v>-14119.895392403199</v>
      </c>
      <c r="R56" s="356">
        <f>-Allocation!$E$8*Tax!R24</f>
        <v>-17741.135852461663</v>
      </c>
      <c r="S56" s="356">
        <f>-Allocation!$E$8*Tax!S24</f>
        <v>-18394.318582089651</v>
      </c>
      <c r="T56" s="356">
        <f>-Allocation!$E$8*Tax!T24</f>
        <v>-19087.879495611036</v>
      </c>
      <c r="U56" s="356">
        <f>-Allocation!$E$8*Tax!U24</f>
        <v>-19825.225150960301</v>
      </c>
      <c r="W56" s="177">
        <f>SUM(B56:U56)</f>
        <v>-180560.22938827792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4" t="s">
        <v>66</v>
      </c>
      <c r="B58" s="358">
        <f t="shared" ref="B58:U58" si="17">B53+B56+B55</f>
        <v>18689.265729657065</v>
      </c>
      <c r="C58" s="358">
        <f t="shared" si="17"/>
        <v>24058.717352870906</v>
      </c>
      <c r="D58" s="358">
        <f t="shared" si="17"/>
        <v>25757.731879517723</v>
      </c>
      <c r="E58" s="358">
        <f t="shared" si="17"/>
        <v>25136.045116046342</v>
      </c>
      <c r="F58" s="358">
        <f t="shared" si="17"/>
        <v>24792.006708574019</v>
      </c>
      <c r="G58" s="358">
        <f t="shared" si="17"/>
        <v>24746.258215380534</v>
      </c>
      <c r="H58" s="358">
        <f t="shared" si="17"/>
        <v>25118.841032821769</v>
      </c>
      <c r="I58" s="358">
        <f t="shared" si="17"/>
        <v>25885.853044293479</v>
      </c>
      <c r="J58" s="358">
        <f t="shared" si="17"/>
        <v>26603.748832139448</v>
      </c>
      <c r="K58" s="358">
        <f t="shared" si="17"/>
        <v>27297.223928439715</v>
      </c>
      <c r="L58" s="358">
        <f t="shared" si="17"/>
        <v>27975.632109542301</v>
      </c>
      <c r="M58" s="358">
        <f t="shared" si="17"/>
        <v>28613.647268594461</v>
      </c>
      <c r="N58" s="358">
        <f t="shared" si="17"/>
        <v>29293.866150309183</v>
      </c>
      <c r="O58" s="358">
        <f t="shared" si="17"/>
        <v>29895.551776738394</v>
      </c>
      <c r="P58" s="358">
        <f t="shared" si="17"/>
        <v>30529.408299498933</v>
      </c>
      <c r="Q58" s="358">
        <f t="shared" si="17"/>
        <v>27021.752735118185</v>
      </c>
      <c r="R58" s="358">
        <f t="shared" si="17"/>
        <v>23618.265558798117</v>
      </c>
      <c r="S58" s="358">
        <f t="shared" si="17"/>
        <v>23887.500908611222</v>
      </c>
      <c r="T58" s="358">
        <f t="shared" si="17"/>
        <v>24103.255829596608</v>
      </c>
      <c r="U58" s="358">
        <f t="shared" si="17"/>
        <v>24271.869295489505</v>
      </c>
      <c r="V58" s="349"/>
      <c r="W58" s="177">
        <f>SUM(B58:U58)</f>
        <v>517296.44177203788</v>
      </c>
    </row>
    <row r="59" spans="1:45" s="307" customFormat="1">
      <c r="A59" s="359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75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45">
      <c r="A68" s="315" t="s">
        <v>165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45">
      <c r="A69" s="395"/>
      <c r="B69" s="4"/>
      <c r="C69" s="4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</row>
    <row r="70" spans="1:45">
      <c r="A70" s="38" t="s">
        <v>163</v>
      </c>
      <c r="B70" s="397">
        <f>Allocation!$C$8*'Summary Output'!$C$7</f>
        <v>191626.87988026967</v>
      </c>
      <c r="C70" s="397">
        <f>Allocation!$C$8*'Summary Output'!$C$7</f>
        <v>191626.87988026967</v>
      </c>
      <c r="D70" s="397">
        <f>Allocation!$C$8*'Summary Output'!$C$7</f>
        <v>191626.87988026967</v>
      </c>
      <c r="E70" s="397">
        <f>Allocation!$C$8*'Summary Output'!$C$7</f>
        <v>191626.87988026967</v>
      </c>
      <c r="F70" s="397">
        <f>Allocation!$C$8*'Summary Output'!$C$7</f>
        <v>191626.87988026967</v>
      </c>
      <c r="G70" s="397">
        <f>Allocation!$C$8*'Summary Output'!$C$7</f>
        <v>191626.87988026967</v>
      </c>
      <c r="H70" s="397">
        <f>Allocation!$C$8*'Summary Output'!$C$7</f>
        <v>191626.87988026967</v>
      </c>
      <c r="I70" s="397">
        <f>Allocation!$C$8*'Summary Output'!$C$7</f>
        <v>191626.87988026967</v>
      </c>
      <c r="J70" s="397">
        <f>Allocation!$C$8*'Summary Output'!$C$7</f>
        <v>191626.87988026967</v>
      </c>
      <c r="K70" s="397">
        <f>Allocation!$C$8*'Summary Output'!$C$7</f>
        <v>191626.87988026967</v>
      </c>
      <c r="L70" s="397">
        <f>Allocation!$C$8*'Summary Output'!$C$7</f>
        <v>191626.87988026967</v>
      </c>
      <c r="M70" s="397">
        <f>Allocation!$C$8*'Summary Output'!$C$7</f>
        <v>191626.87988026967</v>
      </c>
      <c r="N70" s="397">
        <f>Allocation!$C$8*'Summary Output'!$C$7</f>
        <v>191626.87988026967</v>
      </c>
      <c r="O70" s="397">
        <f>Allocation!$C$8*'Summary Output'!$C$7</f>
        <v>191626.87988026967</v>
      </c>
      <c r="P70" s="397">
        <f>Allocation!$C$8*'Summary Output'!$C$7</f>
        <v>191626.87988026967</v>
      </c>
      <c r="Q70" s="397">
        <f>Allocation!$C$8*'Summary Output'!$C$7</f>
        <v>191626.87988026967</v>
      </c>
      <c r="R70" s="397">
        <f>Allocation!$C$8*'Summary Output'!$C$7</f>
        <v>191626.87988026967</v>
      </c>
      <c r="S70" s="397">
        <f>Allocation!$C$8*'Summary Output'!$C$7</f>
        <v>191626.87988026967</v>
      </c>
      <c r="T70" s="397">
        <f>Allocation!$C$8*'Summary Output'!$C$7</f>
        <v>191626.87988026967</v>
      </c>
      <c r="U70" s="397">
        <f>Allocation!$C$8*'Summary Output'!$C$7</f>
        <v>191626.87988026967</v>
      </c>
      <c r="V70" s="397"/>
      <c r="W70" s="397"/>
    </row>
    <row r="71" spans="1:45">
      <c r="A71" s="38" t="s">
        <v>166</v>
      </c>
      <c r="B71" s="398">
        <f>Assumptions!E41</f>
        <v>1.5E-3</v>
      </c>
      <c r="C71" s="398">
        <f>Assumptions!$E$42</f>
        <v>1E-3</v>
      </c>
      <c r="D71" s="398">
        <f>Assumptions!$E$42</f>
        <v>1E-3</v>
      </c>
      <c r="E71" s="398">
        <f>Assumptions!$E$42</f>
        <v>1E-3</v>
      </c>
      <c r="F71" s="398">
        <f>Assumptions!$E$42</f>
        <v>1E-3</v>
      </c>
      <c r="G71" s="398">
        <f>Assumptions!$E$42</f>
        <v>1E-3</v>
      </c>
      <c r="H71" s="398">
        <f>Assumptions!$E$42</f>
        <v>1E-3</v>
      </c>
      <c r="I71" s="398">
        <f>Assumptions!$E$42</f>
        <v>1E-3</v>
      </c>
      <c r="J71" s="398">
        <f>Assumptions!$E$42</f>
        <v>1E-3</v>
      </c>
      <c r="K71" s="398">
        <f>Assumptions!$E$42</f>
        <v>1E-3</v>
      </c>
      <c r="L71" s="398">
        <f>Assumptions!$E$42</f>
        <v>1E-3</v>
      </c>
      <c r="M71" s="398">
        <f>Assumptions!$E$42</f>
        <v>1E-3</v>
      </c>
      <c r="N71" s="398">
        <f>Assumptions!$E$42</f>
        <v>1E-3</v>
      </c>
      <c r="O71" s="398">
        <f>Assumptions!$E$42</f>
        <v>1E-3</v>
      </c>
      <c r="P71" s="398">
        <f>Assumptions!$E$42</f>
        <v>1E-3</v>
      </c>
      <c r="Q71" s="398">
        <f>Assumptions!$E$42</f>
        <v>1E-3</v>
      </c>
      <c r="R71" s="398">
        <f>Assumptions!$E$42</f>
        <v>1E-3</v>
      </c>
      <c r="S71" s="398">
        <f>Assumptions!$E$42</f>
        <v>1E-3</v>
      </c>
      <c r="T71" s="398">
        <f>Assumptions!$E$42</f>
        <v>1E-3</v>
      </c>
      <c r="U71" s="398">
        <f>Assumptions!$E$42</f>
        <v>1E-3</v>
      </c>
      <c r="V71" s="398"/>
      <c r="W71" s="398"/>
    </row>
    <row r="72" spans="1:45">
      <c r="A72" s="14" t="s">
        <v>167</v>
      </c>
      <c r="B72" s="399">
        <f>B70*B71</f>
        <v>287.44031982040451</v>
      </c>
      <c r="C72" s="399">
        <f t="shared" ref="C72:U72" si="18">C70*C71</f>
        <v>191.62687988026968</v>
      </c>
      <c r="D72" s="399">
        <f t="shared" si="18"/>
        <v>191.62687988026968</v>
      </c>
      <c r="E72" s="399">
        <f t="shared" si="18"/>
        <v>191.62687988026968</v>
      </c>
      <c r="F72" s="399">
        <f t="shared" si="18"/>
        <v>191.62687988026968</v>
      </c>
      <c r="G72" s="399">
        <f t="shared" si="18"/>
        <v>191.62687988026968</v>
      </c>
      <c r="H72" s="399">
        <f t="shared" si="18"/>
        <v>191.62687988026968</v>
      </c>
      <c r="I72" s="399">
        <f t="shared" si="18"/>
        <v>191.62687988026968</v>
      </c>
      <c r="J72" s="399">
        <f t="shared" si="18"/>
        <v>191.62687988026968</v>
      </c>
      <c r="K72" s="399">
        <f t="shared" si="18"/>
        <v>191.62687988026968</v>
      </c>
      <c r="L72" s="399">
        <f t="shared" si="18"/>
        <v>191.62687988026968</v>
      </c>
      <c r="M72" s="399">
        <f t="shared" si="18"/>
        <v>191.62687988026968</v>
      </c>
      <c r="N72" s="399">
        <f t="shared" si="18"/>
        <v>191.62687988026968</v>
      </c>
      <c r="O72" s="399">
        <f t="shared" si="18"/>
        <v>191.62687988026968</v>
      </c>
      <c r="P72" s="399">
        <f t="shared" si="18"/>
        <v>191.62687988026968</v>
      </c>
      <c r="Q72" s="399">
        <f t="shared" si="18"/>
        <v>191.62687988026968</v>
      </c>
      <c r="R72" s="399">
        <f t="shared" si="18"/>
        <v>191.62687988026968</v>
      </c>
      <c r="S72" s="399">
        <f t="shared" si="18"/>
        <v>191.62687988026968</v>
      </c>
      <c r="T72" s="399">
        <f t="shared" si="18"/>
        <v>191.62687988026968</v>
      </c>
      <c r="U72" s="399">
        <f t="shared" si="18"/>
        <v>191.62687988026968</v>
      </c>
      <c r="V72" s="399"/>
      <c r="W72" s="399"/>
    </row>
    <row r="73" spans="1:45">
      <c r="A73" s="400"/>
      <c r="B73" s="400"/>
      <c r="C73" s="400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</row>
    <row r="74" spans="1:45">
      <c r="A74" s="400"/>
      <c r="B74" s="400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</row>
    <row r="75" spans="1:45" s="3" customFormat="1">
      <c r="A75" s="315" t="s">
        <v>76</v>
      </c>
      <c r="B75" s="400"/>
      <c r="C75" s="400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396"/>
      <c r="Y75" s="396"/>
      <c r="Z75" s="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15"/>
      <c r="B76" s="400"/>
      <c r="C76" s="400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397"/>
      <c r="Y76" s="397"/>
      <c r="Z76" s="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233</v>
      </c>
      <c r="B77" s="322">
        <f t="shared" ref="B77:U77" si="19">B33</f>
        <v>14510.158622876324</v>
      </c>
      <c r="C77" s="322">
        <f t="shared" si="19"/>
        <v>16813.468683536375</v>
      </c>
      <c r="D77" s="322">
        <f t="shared" si="19"/>
        <v>19195.691404025965</v>
      </c>
      <c r="E77" s="322">
        <f t="shared" si="19"/>
        <v>21686.756704871896</v>
      </c>
      <c r="F77" s="322">
        <f t="shared" si="19"/>
        <v>24419.821206147386</v>
      </c>
      <c r="G77" s="322">
        <f t="shared" si="19"/>
        <v>25890.467963029121</v>
      </c>
      <c r="H77" s="322">
        <f t="shared" si="19"/>
        <v>27405.723709805432</v>
      </c>
      <c r="I77" s="322">
        <f t="shared" si="19"/>
        <v>28926.383585900883</v>
      </c>
      <c r="J77" s="322">
        <f t="shared" si="19"/>
        <v>30558.602445767989</v>
      </c>
      <c r="K77" s="322">
        <f t="shared" si="19"/>
        <v>32210.806495121047</v>
      </c>
      <c r="L77" s="322">
        <f t="shared" si="19"/>
        <v>33897.059190459986</v>
      </c>
      <c r="M77" s="322">
        <f t="shared" si="19"/>
        <v>35630.342856641495</v>
      </c>
      <c r="N77" s="322">
        <f t="shared" si="19"/>
        <v>37489.612749904547</v>
      </c>
      <c r="O77" s="322">
        <f t="shared" si="19"/>
        <v>39403.092348524544</v>
      </c>
      <c r="P77" s="322">
        <f t="shared" si="19"/>
        <v>41406.919030800134</v>
      </c>
      <c r="Q77" s="322">
        <f t="shared" si="19"/>
        <v>43223.058112885585</v>
      </c>
      <c r="R77" s="322">
        <f t="shared" si="19"/>
        <v>45178.08577565194</v>
      </c>
      <c r="S77" s="322">
        <f t="shared" si="19"/>
        <v>47228.194541669378</v>
      </c>
      <c r="T77" s="322">
        <f t="shared" si="19"/>
        <v>49403.703883333634</v>
      </c>
      <c r="U77" s="322">
        <f t="shared" si="19"/>
        <v>51715.113188351796</v>
      </c>
      <c r="V77" s="96"/>
      <c r="W77" s="361">
        <f>SUM(B77:U77)</f>
        <v>666193.06249930547</v>
      </c>
      <c r="X77" s="398"/>
      <c r="Y77" s="398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 t="s">
        <v>119</v>
      </c>
      <c r="B78" s="322">
        <f>B27</f>
        <v>10302.767234421894</v>
      </c>
      <c r="C78" s="322">
        <f t="shared" ref="C78:U78" si="20">C27</f>
        <v>10302.767234421894</v>
      </c>
      <c r="D78" s="322">
        <f t="shared" si="20"/>
        <v>10302.767234421894</v>
      </c>
      <c r="E78" s="322">
        <f t="shared" si="20"/>
        <v>10302.767234421894</v>
      </c>
      <c r="F78" s="322">
        <f t="shared" si="20"/>
        <v>10302.767234421894</v>
      </c>
      <c r="G78" s="322">
        <f t="shared" si="20"/>
        <v>10302.767234421894</v>
      </c>
      <c r="H78" s="322">
        <f t="shared" si="20"/>
        <v>10302.767234421894</v>
      </c>
      <c r="I78" s="322">
        <f t="shared" si="20"/>
        <v>10302.767234421894</v>
      </c>
      <c r="J78" s="322">
        <f t="shared" si="20"/>
        <v>10302.767234421894</v>
      </c>
      <c r="K78" s="322">
        <f t="shared" si="20"/>
        <v>10302.767234421894</v>
      </c>
      <c r="L78" s="322">
        <f t="shared" si="20"/>
        <v>10302.767234421894</v>
      </c>
      <c r="M78" s="322">
        <f t="shared" si="20"/>
        <v>10302.767234421894</v>
      </c>
      <c r="N78" s="322">
        <f t="shared" si="20"/>
        <v>10302.767234421894</v>
      </c>
      <c r="O78" s="322">
        <f t="shared" si="20"/>
        <v>10302.767234421894</v>
      </c>
      <c r="P78" s="322">
        <f t="shared" si="20"/>
        <v>10302.767234421894</v>
      </c>
      <c r="Q78" s="322">
        <f t="shared" si="20"/>
        <v>10302.767234421894</v>
      </c>
      <c r="R78" s="322">
        <f t="shared" si="20"/>
        <v>10302.767234421894</v>
      </c>
      <c r="S78" s="322">
        <f t="shared" si="20"/>
        <v>10302.767234421894</v>
      </c>
      <c r="T78" s="322">
        <f t="shared" si="20"/>
        <v>10302.767234421894</v>
      </c>
      <c r="U78" s="322">
        <f t="shared" si="20"/>
        <v>10302.767234421894</v>
      </c>
      <c r="V78" s="96"/>
      <c r="W78" s="361">
        <f>SUM(B78:U78)</f>
        <v>206055.34468843782</v>
      </c>
      <c r="X78" s="399"/>
      <c r="Y78" s="399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 ht="15">
      <c r="A79" s="38" t="s">
        <v>178</v>
      </c>
      <c r="B79" s="368">
        <f>-Depreciation!C57</f>
        <v>-17171.278724036489</v>
      </c>
      <c r="C79" s="368">
        <f>-Depreciation!D57</f>
        <v>-32625.429575669328</v>
      </c>
      <c r="D79" s="368">
        <f>-Depreciation!E57</f>
        <v>-29362.886618102395</v>
      </c>
      <c r="E79" s="368">
        <f>-Depreciation!F57</f>
        <v>-26443.769235016192</v>
      </c>
      <c r="F79" s="368">
        <f>-Depreciation!G57</f>
        <v>-23799.392311514574</v>
      </c>
      <c r="G79" s="368">
        <f>-Depreciation!H57</f>
        <v>-21395.413290149463</v>
      </c>
      <c r="H79" s="368">
        <f>-Depreciation!I57</f>
        <v>-20262.108894363053</v>
      </c>
      <c r="I79" s="368">
        <f>-Depreciation!J57</f>
        <v>-20296.451451811128</v>
      </c>
      <c r="J79" s="368">
        <f>-Depreciation!K57</f>
        <v>-20262.108894363053</v>
      </c>
      <c r="K79" s="368">
        <f>-Depreciation!L57</f>
        <v>-20296.451451811128</v>
      </c>
      <c r="L79" s="368">
        <f>-Depreciation!M57</f>
        <v>-20262.108894363053</v>
      </c>
      <c r="M79" s="368">
        <f>-Depreciation!N57</f>
        <v>-20296.451451811128</v>
      </c>
      <c r="N79" s="368">
        <f>-Depreciation!O57</f>
        <v>-20262.108894363053</v>
      </c>
      <c r="O79" s="368">
        <f>-Depreciation!P57</f>
        <v>-20296.451451811128</v>
      </c>
      <c r="P79" s="368">
        <f>-Depreciation!Q57</f>
        <v>-20262.108894363053</v>
      </c>
      <c r="Q79" s="368">
        <f>-Depreciation!R57</f>
        <v>-10131.054447181526</v>
      </c>
      <c r="R79" s="368">
        <f>-Depreciation!S57</f>
        <v>0</v>
      </c>
      <c r="S79" s="368">
        <f>-Depreciation!T57</f>
        <v>0</v>
      </c>
      <c r="T79" s="368">
        <f>-Depreciation!U57</f>
        <v>0</v>
      </c>
      <c r="U79" s="368">
        <f>-Depreciation!V57</f>
        <v>0</v>
      </c>
      <c r="V79" s="96"/>
      <c r="W79" s="369">
        <f>SUM(B79:U79)</f>
        <v>-343425.5744807297</v>
      </c>
      <c r="X79" s="401"/>
      <c r="Y79" s="401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s="4" customFormat="1">
      <c r="A80" s="327" t="s">
        <v>118</v>
      </c>
      <c r="B80" s="267">
        <f t="shared" ref="B80:U80" si="21">SUM(B77:B79)</f>
        <v>7641.6471332617293</v>
      </c>
      <c r="C80" s="267">
        <f t="shared" si="21"/>
        <v>-5509.1936577110573</v>
      </c>
      <c r="D80" s="267">
        <f t="shared" si="21"/>
        <v>135.57202034546572</v>
      </c>
      <c r="E80" s="267">
        <f t="shared" si="21"/>
        <v>5545.754704277595</v>
      </c>
      <c r="F80" s="267">
        <f t="shared" si="21"/>
        <v>10923.196129054704</v>
      </c>
      <c r="G80" s="267">
        <f t="shared" si="21"/>
        <v>14797.821907301553</v>
      </c>
      <c r="H80" s="267">
        <f t="shared" si="21"/>
        <v>17446.382049864274</v>
      </c>
      <c r="I80" s="267">
        <f t="shared" si="21"/>
        <v>18932.69936851165</v>
      </c>
      <c r="J80" s="267">
        <f t="shared" si="21"/>
        <v>20599.260785826831</v>
      </c>
      <c r="K80" s="267">
        <f t="shared" si="21"/>
        <v>22217.122277731814</v>
      </c>
      <c r="L80" s="267">
        <f t="shared" si="21"/>
        <v>23937.717530518828</v>
      </c>
      <c r="M80" s="267">
        <f t="shared" si="21"/>
        <v>25636.658639252262</v>
      </c>
      <c r="N80" s="267">
        <f t="shared" si="21"/>
        <v>27530.271089963389</v>
      </c>
      <c r="O80" s="267">
        <f t="shared" si="21"/>
        <v>29409.408131135311</v>
      </c>
      <c r="P80" s="267">
        <f t="shared" si="21"/>
        <v>31447.577370858977</v>
      </c>
      <c r="Q80" s="267">
        <f t="shared" si="21"/>
        <v>43394.77090012595</v>
      </c>
      <c r="R80" s="267">
        <f t="shared" si="21"/>
        <v>55480.853010073835</v>
      </c>
      <c r="S80" s="267">
        <f t="shared" si="21"/>
        <v>57530.961776091273</v>
      </c>
      <c r="T80" s="267">
        <f t="shared" si="21"/>
        <v>59706.471117755529</v>
      </c>
      <c r="U80" s="267">
        <f t="shared" si="21"/>
        <v>62017.880422773691</v>
      </c>
      <c r="V80" s="96"/>
      <c r="W80" s="361">
        <f>SUM(B80:U80)</f>
        <v>528822.83270701359</v>
      </c>
      <c r="X80" s="401"/>
      <c r="Y80" s="401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4" customFormat="1">
      <c r="A81" s="38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96"/>
      <c r="W81" s="96"/>
      <c r="X81" s="401"/>
      <c r="Y81" s="401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4" customFormat="1">
      <c r="A82" s="38" t="s">
        <v>35</v>
      </c>
      <c r="B82" s="370">
        <f>Assumptions!$E$38</f>
        <v>7.1800000000000003E-2</v>
      </c>
      <c r="C82" s="370">
        <f>Assumptions!$E$38</f>
        <v>7.1800000000000003E-2</v>
      </c>
      <c r="D82" s="370">
        <f>Assumptions!$E$38</f>
        <v>7.1800000000000003E-2</v>
      </c>
      <c r="E82" s="370">
        <f>Assumptions!$E$38</f>
        <v>7.1800000000000003E-2</v>
      </c>
      <c r="F82" s="370">
        <f>Assumptions!$E$38</f>
        <v>7.1800000000000003E-2</v>
      </c>
      <c r="G82" s="370">
        <f>Assumptions!$E$38</f>
        <v>7.1800000000000003E-2</v>
      </c>
      <c r="H82" s="370">
        <f>Assumptions!$E$38</f>
        <v>7.1800000000000003E-2</v>
      </c>
      <c r="I82" s="370">
        <f>Assumptions!$E$38</f>
        <v>7.1800000000000003E-2</v>
      </c>
      <c r="J82" s="370">
        <f>Assumptions!$E$38</f>
        <v>7.1800000000000003E-2</v>
      </c>
      <c r="K82" s="370">
        <f>Assumptions!$E$38</f>
        <v>7.1800000000000003E-2</v>
      </c>
      <c r="L82" s="370">
        <f>Assumptions!$E$38</f>
        <v>7.1800000000000003E-2</v>
      </c>
      <c r="M82" s="370">
        <f>Assumptions!$E$38</f>
        <v>7.1800000000000003E-2</v>
      </c>
      <c r="N82" s="370">
        <f>Assumptions!$E$38</f>
        <v>7.1800000000000003E-2</v>
      </c>
      <c r="O82" s="370">
        <f>Assumptions!$E$38</f>
        <v>7.1800000000000003E-2</v>
      </c>
      <c r="P82" s="370">
        <f>Assumptions!$E$38</f>
        <v>7.1800000000000003E-2</v>
      </c>
      <c r="Q82" s="370">
        <f>Assumptions!$E$38</f>
        <v>7.1800000000000003E-2</v>
      </c>
      <c r="R82" s="370">
        <f>Assumptions!$E$38</f>
        <v>7.1800000000000003E-2</v>
      </c>
      <c r="S82" s="370">
        <f>Assumptions!$E$38</f>
        <v>7.1800000000000003E-2</v>
      </c>
      <c r="T82" s="370">
        <f>Assumptions!$E$38</f>
        <v>7.1800000000000003E-2</v>
      </c>
      <c r="U82" s="370">
        <f>Assumptions!$E$38</f>
        <v>7.1800000000000003E-2</v>
      </c>
      <c r="V82" s="96"/>
      <c r="W82" s="96"/>
      <c r="X82" s="401"/>
      <c r="Y82" s="401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>
      <c r="A83" s="38" t="s">
        <v>120</v>
      </c>
      <c r="B83" s="322">
        <f>B80*B82</f>
        <v>548.67026416819215</v>
      </c>
      <c r="C83" s="322">
        <f t="shared" ref="C83:U83" si="22">C80*C82</f>
        <v>-395.56010462365396</v>
      </c>
      <c r="D83" s="322">
        <f t="shared" si="22"/>
        <v>9.734071060804439</v>
      </c>
      <c r="E83" s="322">
        <f t="shared" si="22"/>
        <v>398.18518776713131</v>
      </c>
      <c r="F83" s="322">
        <f t="shared" si="22"/>
        <v>784.28548206612777</v>
      </c>
      <c r="G83" s="322">
        <f t="shared" si="22"/>
        <v>1062.4836129442515</v>
      </c>
      <c r="H83" s="322">
        <f t="shared" si="22"/>
        <v>1252.6502311802549</v>
      </c>
      <c r="I83" s="322">
        <f t="shared" si="22"/>
        <v>1359.3678146591365</v>
      </c>
      <c r="J83" s="322">
        <f t="shared" si="22"/>
        <v>1479.0269244223666</v>
      </c>
      <c r="K83" s="322">
        <f t="shared" si="22"/>
        <v>1595.1893795411443</v>
      </c>
      <c r="L83" s="322">
        <f t="shared" si="22"/>
        <v>1718.7281186912519</v>
      </c>
      <c r="M83" s="322">
        <f t="shared" si="22"/>
        <v>1840.7120902983124</v>
      </c>
      <c r="N83" s="322">
        <f t="shared" si="22"/>
        <v>1976.6734642593715</v>
      </c>
      <c r="O83" s="322">
        <f t="shared" si="22"/>
        <v>2111.5955038155153</v>
      </c>
      <c r="P83" s="322">
        <f t="shared" si="22"/>
        <v>2257.9360552276748</v>
      </c>
      <c r="Q83" s="322">
        <f t="shared" si="22"/>
        <v>3115.7445506290433</v>
      </c>
      <c r="R83" s="322">
        <f t="shared" si="22"/>
        <v>3983.5252461233017</v>
      </c>
      <c r="S83" s="322">
        <f t="shared" si="22"/>
        <v>4130.7230555233537</v>
      </c>
      <c r="T83" s="322">
        <f t="shared" si="22"/>
        <v>4286.9246262548468</v>
      </c>
      <c r="U83" s="322">
        <f t="shared" si="22"/>
        <v>4452.8838143551511</v>
      </c>
    </row>
    <row r="84" spans="1:45">
      <c r="A84" s="38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67"/>
      <c r="P84" s="267"/>
      <c r="Q84" s="267"/>
      <c r="R84" s="267"/>
      <c r="S84" s="267"/>
      <c r="T84" s="267"/>
      <c r="U84" s="267"/>
    </row>
    <row r="85" spans="1:45">
      <c r="A85" s="38" t="s">
        <v>121</v>
      </c>
      <c r="B85" s="322">
        <v>0</v>
      </c>
      <c r="C85" s="322">
        <f t="shared" ref="C85:U85" si="23">B89</f>
        <v>0</v>
      </c>
      <c r="D85" s="322">
        <f t="shared" si="23"/>
        <v>395.56010462365396</v>
      </c>
      <c r="E85" s="322">
        <f t="shared" si="23"/>
        <v>385.82603356284949</v>
      </c>
      <c r="F85" s="322">
        <f t="shared" si="23"/>
        <v>0</v>
      </c>
      <c r="G85" s="322">
        <f t="shared" si="23"/>
        <v>0</v>
      </c>
      <c r="H85" s="322">
        <f t="shared" si="23"/>
        <v>0</v>
      </c>
      <c r="I85" s="322">
        <f t="shared" si="23"/>
        <v>0</v>
      </c>
      <c r="J85" s="322">
        <f t="shared" si="23"/>
        <v>0</v>
      </c>
      <c r="K85" s="322">
        <f t="shared" si="23"/>
        <v>0</v>
      </c>
      <c r="L85" s="322">
        <f t="shared" si="23"/>
        <v>0</v>
      </c>
      <c r="M85" s="322">
        <f t="shared" si="23"/>
        <v>0</v>
      </c>
      <c r="N85" s="322">
        <f>M89</f>
        <v>0</v>
      </c>
      <c r="O85" s="322">
        <f t="shared" si="23"/>
        <v>0</v>
      </c>
      <c r="P85" s="322">
        <f t="shared" si="23"/>
        <v>0</v>
      </c>
      <c r="Q85" s="322">
        <f t="shared" si="23"/>
        <v>0</v>
      </c>
      <c r="R85" s="322">
        <v>0</v>
      </c>
      <c r="S85" s="322">
        <f t="shared" si="23"/>
        <v>0</v>
      </c>
      <c r="T85" s="322">
        <f t="shared" si="23"/>
        <v>0</v>
      </c>
      <c r="U85" s="322">
        <f t="shared" si="23"/>
        <v>0</v>
      </c>
    </row>
    <row r="86" spans="1:45">
      <c r="A86" s="38" t="s">
        <v>122</v>
      </c>
      <c r="B86" s="332">
        <f t="shared" ref="B86:U86" si="24">IF(B62&gt;2020,0,IF(B83&lt;0,-B83,0))</f>
        <v>0</v>
      </c>
      <c r="C86" s="332">
        <f t="shared" si="24"/>
        <v>395.56010462365396</v>
      </c>
      <c r="D86" s="332">
        <f t="shared" si="24"/>
        <v>0</v>
      </c>
      <c r="E86" s="332">
        <f t="shared" si="24"/>
        <v>0</v>
      </c>
      <c r="F86" s="332">
        <f t="shared" si="24"/>
        <v>0</v>
      </c>
      <c r="G86" s="332">
        <f t="shared" si="24"/>
        <v>0</v>
      </c>
      <c r="H86" s="332">
        <f t="shared" si="24"/>
        <v>0</v>
      </c>
      <c r="I86" s="332">
        <f t="shared" si="24"/>
        <v>0</v>
      </c>
      <c r="J86" s="332">
        <f t="shared" si="24"/>
        <v>0</v>
      </c>
      <c r="K86" s="332">
        <f t="shared" si="24"/>
        <v>0</v>
      </c>
      <c r="L86" s="332">
        <f t="shared" si="24"/>
        <v>0</v>
      </c>
      <c r="M86" s="332">
        <f t="shared" si="24"/>
        <v>0</v>
      </c>
      <c r="N86" s="332">
        <f t="shared" si="24"/>
        <v>0</v>
      </c>
      <c r="O86" s="332">
        <f t="shared" si="24"/>
        <v>0</v>
      </c>
      <c r="P86" s="332">
        <f t="shared" si="24"/>
        <v>0</v>
      </c>
      <c r="Q86" s="332">
        <f t="shared" si="24"/>
        <v>0</v>
      </c>
      <c r="R86" s="332">
        <f t="shared" si="24"/>
        <v>0</v>
      </c>
      <c r="S86" s="332">
        <f t="shared" si="24"/>
        <v>0</v>
      </c>
      <c r="T86" s="332">
        <f t="shared" si="24"/>
        <v>0</v>
      </c>
      <c r="U86" s="332">
        <f t="shared" si="24"/>
        <v>0</v>
      </c>
    </row>
    <row r="87" spans="1:45">
      <c r="A87" s="38" t="s">
        <v>123</v>
      </c>
      <c r="B87" s="371">
        <v>0</v>
      </c>
      <c r="C87" s="371">
        <v>0</v>
      </c>
      <c r="D87" s="371">
        <v>0</v>
      </c>
      <c r="E87" s="371">
        <v>0</v>
      </c>
      <c r="F87" s="371">
        <v>0</v>
      </c>
      <c r="G87" s="371">
        <v>0</v>
      </c>
      <c r="H87" s="371">
        <v>0</v>
      </c>
      <c r="I87" s="371">
        <v>0</v>
      </c>
      <c r="J87" s="371">
        <v>0</v>
      </c>
      <c r="K87" s="371">
        <v>0</v>
      </c>
      <c r="L87" s="371">
        <v>0</v>
      </c>
      <c r="M87" s="371">
        <v>0</v>
      </c>
      <c r="N87" s="371">
        <v>0</v>
      </c>
      <c r="O87" s="371">
        <v>0</v>
      </c>
      <c r="P87" s="371">
        <v>0</v>
      </c>
      <c r="Q87" s="371">
        <v>0</v>
      </c>
      <c r="R87" s="371">
        <v>0</v>
      </c>
      <c r="S87" s="371">
        <v>0</v>
      </c>
      <c r="T87" s="322">
        <f>IF(L86&gt;(SUM(M88:S88)+SUM(L87:S87))*-1,L86-(SUM(L88:S88)+SUM(L87:S87))*-1,0)</f>
        <v>0</v>
      </c>
      <c r="U87" s="322">
        <f>IF(M86&gt;(SUM(N88:T88)+SUM(M87:T87))*-1,M86-(SUM(M88:T88)+SUM(M87:T87))*-1,0)</f>
        <v>0</v>
      </c>
    </row>
    <row r="88" spans="1:45">
      <c r="A88" s="9" t="s">
        <v>124</v>
      </c>
      <c r="B88" s="372">
        <f t="shared" ref="B88:T88" si="25">IF(B83&lt;0,0,IF(B85&gt;B83,-B83,-B85))</f>
        <v>0</v>
      </c>
      <c r="C88" s="372">
        <f t="shared" si="25"/>
        <v>0</v>
      </c>
      <c r="D88" s="372">
        <f t="shared" si="25"/>
        <v>-9.734071060804439</v>
      </c>
      <c r="E88" s="372">
        <f t="shared" si="25"/>
        <v>-385.82603356284949</v>
      </c>
      <c r="F88" s="372">
        <f t="shared" si="25"/>
        <v>0</v>
      </c>
      <c r="G88" s="372">
        <f t="shared" si="25"/>
        <v>0</v>
      </c>
      <c r="H88" s="372">
        <f t="shared" si="25"/>
        <v>0</v>
      </c>
      <c r="I88" s="372">
        <f t="shared" si="25"/>
        <v>0</v>
      </c>
      <c r="J88" s="372">
        <f t="shared" si="25"/>
        <v>0</v>
      </c>
      <c r="K88" s="372">
        <f t="shared" si="25"/>
        <v>0</v>
      </c>
      <c r="L88" s="372">
        <f t="shared" si="25"/>
        <v>0</v>
      </c>
      <c r="M88" s="372">
        <f t="shared" si="25"/>
        <v>0</v>
      </c>
      <c r="N88" s="372">
        <f t="shared" si="25"/>
        <v>0</v>
      </c>
      <c r="O88" s="372">
        <f t="shared" si="25"/>
        <v>0</v>
      </c>
      <c r="P88" s="372">
        <f t="shared" si="25"/>
        <v>0</v>
      </c>
      <c r="Q88" s="372">
        <f t="shared" si="25"/>
        <v>0</v>
      </c>
      <c r="R88" s="372">
        <f t="shared" si="25"/>
        <v>0</v>
      </c>
      <c r="S88" s="372">
        <f t="shared" si="25"/>
        <v>0</v>
      </c>
      <c r="T88" s="372">
        <f t="shared" si="25"/>
        <v>0</v>
      </c>
      <c r="U88" s="372">
        <f>IF(U83&lt;0,0,IF(U85&gt;U83,-U83,-U85))</f>
        <v>0</v>
      </c>
    </row>
    <row r="89" spans="1:45">
      <c r="A89" s="9" t="s">
        <v>125</v>
      </c>
      <c r="B89" s="372">
        <f t="shared" ref="B89:U89" si="26">SUM(B85:B88)</f>
        <v>0</v>
      </c>
      <c r="C89" s="372">
        <f t="shared" si="26"/>
        <v>395.56010462365396</v>
      </c>
      <c r="D89" s="372">
        <f t="shared" si="26"/>
        <v>385.82603356284949</v>
      </c>
      <c r="E89" s="372">
        <f t="shared" si="26"/>
        <v>0</v>
      </c>
      <c r="F89" s="372">
        <f t="shared" si="26"/>
        <v>0</v>
      </c>
      <c r="G89" s="372">
        <f t="shared" si="26"/>
        <v>0</v>
      </c>
      <c r="H89" s="372">
        <f t="shared" si="26"/>
        <v>0</v>
      </c>
      <c r="I89" s="372">
        <f t="shared" si="26"/>
        <v>0</v>
      </c>
      <c r="J89" s="372">
        <f t="shared" si="26"/>
        <v>0</v>
      </c>
      <c r="K89" s="372">
        <f t="shared" si="26"/>
        <v>0</v>
      </c>
      <c r="L89" s="372">
        <f t="shared" si="26"/>
        <v>0</v>
      </c>
      <c r="M89" s="372">
        <f t="shared" si="26"/>
        <v>0</v>
      </c>
      <c r="N89" s="372">
        <f t="shared" si="26"/>
        <v>0</v>
      </c>
      <c r="O89" s="372">
        <f t="shared" si="26"/>
        <v>0</v>
      </c>
      <c r="P89" s="372">
        <f t="shared" si="26"/>
        <v>0</v>
      </c>
      <c r="Q89" s="372">
        <f t="shared" si="26"/>
        <v>0</v>
      </c>
      <c r="R89" s="372">
        <f t="shared" si="26"/>
        <v>0</v>
      </c>
      <c r="S89" s="372">
        <f t="shared" si="26"/>
        <v>0</v>
      </c>
      <c r="T89" s="372">
        <f t="shared" si="26"/>
        <v>0</v>
      </c>
      <c r="U89" s="372">
        <f t="shared" si="26"/>
        <v>0</v>
      </c>
    </row>
    <row r="90" spans="1:45">
      <c r="A90" s="9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5" ht="13.5" thickBot="1">
      <c r="A91" s="14" t="s">
        <v>117</v>
      </c>
      <c r="B91" s="317">
        <f t="shared" ref="B91:U91" si="27">IF(B83&lt;0,0,B83+B88)</f>
        <v>548.67026416819215</v>
      </c>
      <c r="C91" s="317">
        <f t="shared" si="27"/>
        <v>0</v>
      </c>
      <c r="D91" s="317">
        <f t="shared" si="27"/>
        <v>0</v>
      </c>
      <c r="E91" s="317">
        <f t="shared" si="27"/>
        <v>12.359154204281822</v>
      </c>
      <c r="F91" s="317">
        <f t="shared" si="27"/>
        <v>784.28548206612777</v>
      </c>
      <c r="G91" s="317">
        <f t="shared" si="27"/>
        <v>1062.4836129442515</v>
      </c>
      <c r="H91" s="317">
        <f t="shared" si="27"/>
        <v>1252.6502311802549</v>
      </c>
      <c r="I91" s="317">
        <f t="shared" si="27"/>
        <v>1359.3678146591365</v>
      </c>
      <c r="J91" s="317">
        <f t="shared" si="27"/>
        <v>1479.0269244223666</v>
      </c>
      <c r="K91" s="317">
        <f t="shared" si="27"/>
        <v>1595.1893795411443</v>
      </c>
      <c r="L91" s="317">
        <f t="shared" si="27"/>
        <v>1718.7281186912519</v>
      </c>
      <c r="M91" s="317">
        <f t="shared" si="27"/>
        <v>1840.7120902983124</v>
      </c>
      <c r="N91" s="317">
        <f t="shared" si="27"/>
        <v>1976.6734642593715</v>
      </c>
      <c r="O91" s="317">
        <f t="shared" si="27"/>
        <v>2111.5955038155153</v>
      </c>
      <c r="P91" s="317">
        <f t="shared" si="27"/>
        <v>2257.9360552276748</v>
      </c>
      <c r="Q91" s="317">
        <f t="shared" si="27"/>
        <v>3115.7445506290433</v>
      </c>
      <c r="R91" s="317">
        <f t="shared" si="27"/>
        <v>3983.5252461233017</v>
      </c>
      <c r="S91" s="317">
        <f t="shared" si="27"/>
        <v>4130.7230555233537</v>
      </c>
      <c r="T91" s="317">
        <f t="shared" si="27"/>
        <v>4286.9246262548468</v>
      </c>
      <c r="U91" s="317">
        <f t="shared" si="27"/>
        <v>4452.8838143551511</v>
      </c>
      <c r="W91" s="361">
        <f>SUM(B91:U91)</f>
        <v>37969.479388363572</v>
      </c>
    </row>
  </sheetData>
  <pageMargins left="0.75" right="0.75" top="1" bottom="1" header="0.5" footer="0.5"/>
  <pageSetup scale="38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E11"/>
  <sheetViews>
    <sheetView zoomScaleNormal="75" workbookViewId="0"/>
  </sheetViews>
  <sheetFormatPr defaultRowHeight="12.75"/>
  <cols>
    <col min="1" max="1" width="21.28515625" style="5" bestFit="1" customWidth="1"/>
    <col min="2" max="2" width="4" style="5" customWidth="1"/>
    <col min="3" max="3" width="17.28515625" style="5" bestFit="1" customWidth="1"/>
    <col min="4" max="4" width="3.5703125" style="5" customWidth="1"/>
    <col min="5" max="5" width="13.7109375" style="5" bestFit="1" customWidth="1"/>
    <col min="6" max="16384" width="9.140625" style="5"/>
  </cols>
  <sheetData>
    <row r="2" spans="1:5" ht="18">
      <c r="A2" s="382" t="s">
        <v>82</v>
      </c>
    </row>
    <row r="3" spans="1:5" ht="15.75">
      <c r="A3" s="383"/>
    </row>
    <row r="4" spans="1:5">
      <c r="A4" s="384" t="s">
        <v>83</v>
      </c>
      <c r="B4" s="107"/>
      <c r="C4" s="384" t="s">
        <v>145</v>
      </c>
      <c r="D4" s="107"/>
      <c r="E4" s="384" t="s">
        <v>148</v>
      </c>
    </row>
    <row r="6" spans="1:5">
      <c r="A6" s="26" t="s">
        <v>91</v>
      </c>
      <c r="C6" s="412">
        <v>0.29520493370916046</v>
      </c>
      <c r="E6" s="373">
        <v>0.30711509328581132</v>
      </c>
    </row>
    <row r="7" spans="1:5">
      <c r="A7" s="26" t="s">
        <v>8</v>
      </c>
      <c r="C7" s="412">
        <v>0.2700361201451052</v>
      </c>
      <c r="E7" s="373">
        <v>0.30131192317942507</v>
      </c>
    </row>
    <row r="8" spans="1:5">
      <c r="A8" s="200" t="s">
        <v>9</v>
      </c>
      <c r="C8" s="385">
        <v>0.43475894614573446</v>
      </c>
      <c r="E8" s="385">
        <v>0.39157298353476361</v>
      </c>
    </row>
    <row r="9" spans="1:5">
      <c r="A9" s="200"/>
      <c r="C9" s="386"/>
      <c r="E9" s="386"/>
    </row>
    <row r="10" spans="1:5" ht="13.5" thickBot="1">
      <c r="A10" s="387" t="s">
        <v>16</v>
      </c>
      <c r="B10" s="388"/>
      <c r="C10" s="389">
        <f>SUM(C6:C8)</f>
        <v>1</v>
      </c>
      <c r="D10" s="388"/>
      <c r="E10" s="389">
        <f>SUM(E6:E8)</f>
        <v>1</v>
      </c>
    </row>
    <row r="11" spans="1:5" ht="13.5" thickTop="1"/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G42"/>
  <sheetViews>
    <sheetView zoomScaleNormal="75" workbookViewId="0">
      <selection activeCell="A10" sqref="A10"/>
    </sheetView>
  </sheetViews>
  <sheetFormatPr defaultRowHeight="12.75"/>
  <cols>
    <col min="1" max="1" width="36.28515625" style="5" customWidth="1"/>
    <col min="2" max="2" width="2.7109375" style="5" customWidth="1"/>
    <col min="3" max="3" width="9.85546875" style="5" bestFit="1" customWidth="1"/>
    <col min="4" max="4" width="12.5703125" style="5" bestFit="1" customWidth="1"/>
    <col min="5" max="5" width="10.42578125" style="5" bestFit="1" customWidth="1"/>
    <col min="6" max="6" width="2.7109375" style="5" customWidth="1"/>
    <col min="7" max="7" width="7.28515625" style="5" bestFit="1" customWidth="1"/>
    <col min="8" max="16384" width="9.140625" style="5"/>
  </cols>
  <sheetData>
    <row r="2" spans="1:7">
      <c r="A2" s="27" t="s">
        <v>149</v>
      </c>
    </row>
    <row r="4" spans="1:7" ht="13.5" thickBot="1"/>
    <row r="5" spans="1:7">
      <c r="A5" s="74" t="s">
        <v>2</v>
      </c>
      <c r="B5" s="29"/>
      <c r="C5" s="417" t="s">
        <v>3</v>
      </c>
      <c r="D5" s="417"/>
      <c r="E5" s="417"/>
      <c r="F5" s="75"/>
      <c r="G5" s="108"/>
    </row>
    <row r="6" spans="1:7">
      <c r="A6" s="10"/>
      <c r="B6" s="9"/>
      <c r="C6" s="9"/>
      <c r="D6" s="9"/>
      <c r="E6" s="9"/>
      <c r="F6" s="96"/>
      <c r="G6" s="11"/>
    </row>
    <row r="7" spans="1:7">
      <c r="A7" s="10"/>
      <c r="B7" s="9"/>
      <c r="C7" s="54" t="s">
        <v>91</v>
      </c>
      <c r="D7" s="54" t="s">
        <v>8</v>
      </c>
      <c r="E7" s="54" t="s">
        <v>9</v>
      </c>
      <c r="F7" s="109"/>
      <c r="G7" s="110" t="s">
        <v>16</v>
      </c>
    </row>
    <row r="8" spans="1:7">
      <c r="A8" s="10" t="s">
        <v>12</v>
      </c>
      <c r="B8" s="9"/>
      <c r="C8" s="111">
        <v>3</v>
      </c>
      <c r="D8" s="111">
        <v>4</v>
      </c>
      <c r="E8" s="111">
        <v>8</v>
      </c>
      <c r="F8" s="82"/>
      <c r="G8" s="112">
        <f>SUM(C8:E8)</f>
        <v>15</v>
      </c>
    </row>
    <row r="9" spans="1:7">
      <c r="A9" s="10" t="s">
        <v>228</v>
      </c>
      <c r="B9" s="9"/>
      <c r="C9" s="111">
        <v>510</v>
      </c>
      <c r="D9" s="111">
        <v>470</v>
      </c>
      <c r="E9" s="111">
        <v>608</v>
      </c>
      <c r="F9" s="113"/>
      <c r="G9" s="112">
        <f>SUM(C9:E9)</f>
        <v>1588</v>
      </c>
    </row>
    <row r="10" spans="1:7">
      <c r="A10" s="10" t="s">
        <v>208</v>
      </c>
      <c r="B10" s="9"/>
      <c r="C10" s="111">
        <v>10592</v>
      </c>
      <c r="D10" s="111">
        <v>11734</v>
      </c>
      <c r="E10" s="111">
        <v>11973</v>
      </c>
      <c r="F10" s="82"/>
      <c r="G10" s="112">
        <f>SUMPRODUCT(C10:E10,C9:E9)/G9</f>
        <v>11458.743073047859</v>
      </c>
    </row>
    <row r="11" spans="1:7" ht="13.5" thickBot="1">
      <c r="A11" s="95" t="s">
        <v>140</v>
      </c>
      <c r="B11" s="23"/>
      <c r="C11" s="114">
        <v>75</v>
      </c>
      <c r="D11" s="114">
        <v>75</v>
      </c>
      <c r="E11" s="114">
        <v>75</v>
      </c>
      <c r="F11" s="23"/>
      <c r="G11" s="120">
        <f>SUM(C11:E11)</f>
        <v>225</v>
      </c>
    </row>
    <row r="13" spans="1:7" ht="13.5" thickBot="1">
      <c r="A13" s="9"/>
      <c r="B13" s="9"/>
      <c r="C13" s="9"/>
      <c r="D13" s="9"/>
      <c r="E13" s="9"/>
      <c r="F13" s="9"/>
      <c r="G13" s="9"/>
    </row>
    <row r="14" spans="1:7">
      <c r="A14" s="74" t="s">
        <v>218</v>
      </c>
      <c r="B14" s="29"/>
      <c r="C14" s="7"/>
      <c r="D14" s="7"/>
      <c r="E14" s="7"/>
      <c r="F14" s="29"/>
      <c r="G14" s="115"/>
    </row>
    <row r="15" spans="1:7">
      <c r="A15" s="10"/>
      <c r="B15" s="9"/>
      <c r="C15" s="9"/>
      <c r="D15" s="9"/>
      <c r="E15" s="9"/>
      <c r="F15" s="96"/>
      <c r="G15" s="97"/>
    </row>
    <row r="16" spans="1:7">
      <c r="A16" s="10" t="s">
        <v>219</v>
      </c>
      <c r="B16" s="9"/>
      <c r="C16" s="116">
        <v>4</v>
      </c>
      <c r="D16" s="98">
        <f>C16</f>
        <v>4</v>
      </c>
      <c r="E16" s="98">
        <f>C16</f>
        <v>4</v>
      </c>
      <c r="F16" s="117"/>
      <c r="G16" s="118"/>
    </row>
    <row r="17" spans="1:7">
      <c r="A17" s="10" t="s">
        <v>182</v>
      </c>
      <c r="B17" s="9"/>
      <c r="C17" s="99">
        <f t="shared" ref="C17:E18" si="0">C23</f>
        <v>1.5</v>
      </c>
      <c r="D17" s="99">
        <f t="shared" si="0"/>
        <v>3</v>
      </c>
      <c r="E17" s="99">
        <f t="shared" si="0"/>
        <v>2</v>
      </c>
      <c r="F17" s="9"/>
      <c r="G17" s="11"/>
    </row>
    <row r="18" spans="1:7">
      <c r="A18" s="10" t="s">
        <v>211</v>
      </c>
      <c r="B18" s="9"/>
      <c r="C18" s="82">
        <f t="shared" si="0"/>
        <v>1500</v>
      </c>
      <c r="D18" s="82">
        <f t="shared" si="0"/>
        <v>1500</v>
      </c>
      <c r="E18" s="82">
        <f t="shared" si="0"/>
        <v>1000</v>
      </c>
      <c r="F18" s="9"/>
      <c r="G18" s="112"/>
    </row>
    <row r="19" spans="1:7" ht="13.5" thickBot="1">
      <c r="A19" s="95" t="s">
        <v>139</v>
      </c>
      <c r="B19" s="23"/>
      <c r="C19" s="119">
        <v>532991.61978558963</v>
      </c>
      <c r="D19" s="119">
        <v>461312.72185621865</v>
      </c>
      <c r="E19" s="119">
        <v>2002000</v>
      </c>
      <c r="F19" s="23"/>
      <c r="G19" s="120"/>
    </row>
    <row r="20" spans="1:7">
      <c r="A20" s="9"/>
      <c r="B20" s="9"/>
      <c r="C20" s="9"/>
      <c r="D20" s="9"/>
      <c r="E20" s="9"/>
      <c r="F20" s="9"/>
      <c r="G20" s="9"/>
    </row>
    <row r="21" spans="1:7" ht="13.5" thickBot="1"/>
    <row r="22" spans="1:7">
      <c r="A22" s="28" t="s">
        <v>38</v>
      </c>
      <c r="B22" s="7"/>
      <c r="C22" s="100"/>
      <c r="D22" s="100"/>
      <c r="E22" s="121"/>
      <c r="F22" s="122"/>
      <c r="G22" s="123"/>
    </row>
    <row r="23" spans="1:7">
      <c r="A23" s="124" t="s">
        <v>229</v>
      </c>
      <c r="B23" s="9"/>
      <c r="C23" s="125">
        <v>1.5</v>
      </c>
      <c r="D23" s="125">
        <v>3</v>
      </c>
      <c r="E23" s="125">
        <v>2</v>
      </c>
      <c r="F23" s="101"/>
      <c r="G23" s="102"/>
    </row>
    <row r="24" spans="1:7">
      <c r="A24" s="10" t="s">
        <v>215</v>
      </c>
      <c r="B24" s="9"/>
      <c r="C24" s="111">
        <v>1500</v>
      </c>
      <c r="D24" s="111">
        <v>1500</v>
      </c>
      <c r="E24" s="111">
        <v>1000</v>
      </c>
      <c r="F24" s="103"/>
      <c r="G24" s="126"/>
    </row>
    <row r="25" spans="1:7">
      <c r="A25" s="10" t="s">
        <v>101</v>
      </c>
      <c r="B25" s="9"/>
      <c r="C25" s="70">
        <v>0.03</v>
      </c>
      <c r="D25" s="103">
        <f>C25</f>
        <v>0.03</v>
      </c>
      <c r="E25" s="103">
        <f>C25</f>
        <v>0.03</v>
      </c>
      <c r="F25" s="85"/>
      <c r="G25" s="127"/>
    </row>
    <row r="26" spans="1:7">
      <c r="A26" s="10"/>
      <c r="B26" s="9"/>
      <c r="C26" s="25"/>
      <c r="D26" s="25"/>
      <c r="E26" s="25"/>
      <c r="F26" s="104"/>
      <c r="G26" s="105"/>
    </row>
    <row r="27" spans="1:7">
      <c r="A27" s="55" t="s">
        <v>100</v>
      </c>
      <c r="B27" s="9"/>
      <c r="C27" s="106"/>
      <c r="D27" s="106"/>
      <c r="E27" s="106"/>
      <c r="F27" s="104"/>
      <c r="G27" s="105"/>
    </row>
    <row r="28" spans="1:7">
      <c r="A28" s="10" t="s">
        <v>41</v>
      </c>
      <c r="B28" s="9"/>
      <c r="C28" s="128">
        <v>1242.4817142857141</v>
      </c>
      <c r="D28" s="128">
        <v>1515.7902857142858</v>
      </c>
      <c r="E28" s="128">
        <v>1448.5405714285714</v>
      </c>
      <c r="F28" s="104"/>
      <c r="G28" s="105"/>
    </row>
    <row r="29" spans="1:7">
      <c r="A29" s="10" t="s">
        <v>42</v>
      </c>
      <c r="B29" s="9"/>
      <c r="C29" s="129">
        <f>C23*C19/1000</f>
        <v>799.4874296783845</v>
      </c>
      <c r="D29" s="129">
        <f>D23*D19/1000</f>
        <v>1383.9381655686559</v>
      </c>
      <c r="E29" s="129">
        <f>E23*E19/1000</f>
        <v>4004</v>
      </c>
      <c r="F29" s="104"/>
      <c r="G29" s="105"/>
    </row>
    <row r="30" spans="1:7">
      <c r="A30" s="10" t="s">
        <v>216</v>
      </c>
      <c r="B30" s="9"/>
      <c r="C30" s="129">
        <f>C24*C11*C8/1000</f>
        <v>337.5</v>
      </c>
      <c r="D30" s="129">
        <f>D24*D11*D8/1000</f>
        <v>450</v>
      </c>
      <c r="E30" s="129">
        <f>E24*E11*E8/1000</f>
        <v>600</v>
      </c>
      <c r="F30" s="9"/>
      <c r="G30" s="11"/>
    </row>
    <row r="31" spans="1:7">
      <c r="A31" s="10" t="s">
        <v>99</v>
      </c>
      <c r="B31" s="9"/>
      <c r="C31" s="128">
        <v>322.2511428571429</v>
      </c>
      <c r="D31" s="128">
        <v>306.26771428571425</v>
      </c>
      <c r="E31" s="128">
        <v>400.64714285714285</v>
      </c>
      <c r="F31" s="104"/>
      <c r="G31" s="105"/>
    </row>
    <row r="32" spans="1:7" ht="13.5" thickBot="1">
      <c r="A32" s="95" t="s">
        <v>230</v>
      </c>
      <c r="B32" s="23"/>
      <c r="C32" s="130">
        <f>-Gleason!B50</f>
        <v>92.2251014</v>
      </c>
      <c r="D32" s="130">
        <f>-Wheatland!B50</f>
        <v>203.273</v>
      </c>
      <c r="E32" s="130">
        <f>-Wilton!B50</f>
        <v>333.7</v>
      </c>
      <c r="F32" s="23"/>
      <c r="G32" s="24"/>
    </row>
    <row r="34" spans="1:7" ht="13.5" thickBot="1">
      <c r="A34" s="9"/>
      <c r="B34" s="9"/>
      <c r="C34" s="9"/>
      <c r="D34" s="9"/>
      <c r="E34" s="9"/>
      <c r="F34" s="9"/>
      <c r="G34" s="9"/>
    </row>
    <row r="35" spans="1:7">
      <c r="A35" s="74" t="s">
        <v>32</v>
      </c>
      <c r="B35" s="29"/>
      <c r="C35" s="121"/>
      <c r="D35" s="121"/>
      <c r="E35" s="121"/>
      <c r="F35" s="121"/>
      <c r="G35" s="131"/>
    </row>
    <row r="36" spans="1:7">
      <c r="A36" s="10"/>
      <c r="B36" s="9"/>
      <c r="C36" s="101"/>
      <c r="D36" s="101"/>
      <c r="E36" s="101"/>
      <c r="F36" s="101"/>
      <c r="G36" s="102"/>
    </row>
    <row r="37" spans="1:7">
      <c r="A37" s="10" t="s">
        <v>34</v>
      </c>
      <c r="B37" s="9"/>
      <c r="C37" s="70">
        <v>0.35</v>
      </c>
      <c r="D37" s="70">
        <v>0.35</v>
      </c>
      <c r="E37" s="70">
        <v>0.35</v>
      </c>
      <c r="F37" s="103"/>
      <c r="G37" s="126">
        <v>0.35</v>
      </c>
    </row>
    <row r="38" spans="1:7">
      <c r="A38" s="10" t="s">
        <v>35</v>
      </c>
      <c r="B38" s="9"/>
      <c r="C38" s="132">
        <v>0.06</v>
      </c>
      <c r="D38" s="132">
        <v>4.4999999999999998E-2</v>
      </c>
      <c r="E38" s="132">
        <v>7.1800000000000003E-2</v>
      </c>
      <c r="F38" s="85"/>
      <c r="G38" s="127"/>
    </row>
    <row r="39" spans="1:7">
      <c r="A39" s="10" t="s">
        <v>80</v>
      </c>
      <c r="B39" s="9"/>
      <c r="C39" s="132" t="s">
        <v>36</v>
      </c>
      <c r="D39" s="132">
        <v>3.4000000000000002E-2</v>
      </c>
      <c r="E39" s="132" t="s">
        <v>36</v>
      </c>
      <c r="F39" s="85"/>
      <c r="G39" s="127"/>
    </row>
    <row r="40" spans="1:7">
      <c r="A40" s="10" t="s">
        <v>158</v>
      </c>
      <c r="B40" s="9"/>
      <c r="C40" s="132" t="s">
        <v>36</v>
      </c>
      <c r="D40" s="132">
        <v>1.2E-2</v>
      </c>
      <c r="E40" s="132" t="s">
        <v>36</v>
      </c>
      <c r="F40" s="101"/>
      <c r="G40" s="102"/>
    </row>
    <row r="41" spans="1:7">
      <c r="A41" s="10" t="s">
        <v>161</v>
      </c>
      <c r="B41" s="9"/>
      <c r="C41" s="132">
        <v>2.5000000000000001E-3</v>
      </c>
      <c r="D41" s="132" t="s">
        <v>36</v>
      </c>
      <c r="E41" s="132">
        <v>1.5E-3</v>
      </c>
      <c r="F41" s="101"/>
      <c r="G41" s="102"/>
    </row>
    <row r="42" spans="1:7" ht="13.5" thickBot="1">
      <c r="A42" s="95" t="s">
        <v>162</v>
      </c>
      <c r="B42" s="23"/>
      <c r="C42" s="133">
        <v>2.5000000000000001E-3</v>
      </c>
      <c r="D42" s="133" t="s">
        <v>36</v>
      </c>
      <c r="E42" s="133">
        <v>1E-3</v>
      </c>
      <c r="F42" s="23"/>
      <c r="G42" s="24"/>
    </row>
  </sheetData>
  <mergeCells count="1">
    <mergeCell ref="C5:E5"/>
  </mergeCells>
  <pageMargins left="0.75" right="0.75" top="1" bottom="1" header="0.5" footer="0.5"/>
  <pageSetup scale="83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44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ColWidth="9.28515625" defaultRowHeight="12.75"/>
  <cols>
    <col min="1" max="1" width="45.140625" style="5" bestFit="1" customWidth="1"/>
    <col min="2" max="2" width="6.7109375" style="5" customWidth="1"/>
    <col min="3" max="15" width="6.7109375" style="5" bestFit="1" customWidth="1"/>
    <col min="16" max="22" width="7.7109375" style="5" bestFit="1" customWidth="1"/>
    <col min="23" max="16384" width="9.28515625" style="5"/>
  </cols>
  <sheetData>
    <row r="1" spans="1:22" ht="12" customHeight="1">
      <c r="A1" s="26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>
      <c r="A2" s="27" t="s">
        <v>204</v>
      </c>
      <c r="B2" s="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C4" s="137">
        <v>2001</v>
      </c>
      <c r="D4" s="137">
        <v>2002</v>
      </c>
      <c r="E4" s="137">
        <v>2003</v>
      </c>
      <c r="F4" s="137">
        <v>2004</v>
      </c>
      <c r="G4" s="137">
        <v>2005</v>
      </c>
      <c r="H4" s="137">
        <v>2006</v>
      </c>
      <c r="I4" s="137">
        <v>2007</v>
      </c>
      <c r="J4" s="137">
        <v>2008</v>
      </c>
      <c r="K4" s="137">
        <v>2009</v>
      </c>
      <c r="L4" s="137">
        <v>2010</v>
      </c>
      <c r="M4" s="137">
        <v>2011</v>
      </c>
      <c r="N4" s="137">
        <v>2012</v>
      </c>
      <c r="O4" s="137">
        <v>2013</v>
      </c>
      <c r="P4" s="137">
        <v>2014</v>
      </c>
      <c r="Q4" s="137">
        <v>2015</v>
      </c>
      <c r="R4" s="137">
        <v>2016</v>
      </c>
      <c r="S4" s="137">
        <v>2017</v>
      </c>
      <c r="T4" s="137">
        <v>2018</v>
      </c>
      <c r="U4" s="137">
        <v>2019</v>
      </c>
      <c r="V4" s="137">
        <v>2020</v>
      </c>
    </row>
    <row r="5" spans="1:22"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>
      <c r="A6" s="138" t="s">
        <v>221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>
      <c r="A7" s="138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>
      <c r="A8" s="14" t="s">
        <v>193</v>
      </c>
      <c r="C8" s="140">
        <f>Assumptions!C25</f>
        <v>0.03</v>
      </c>
      <c r="D8" s="9"/>
      <c r="E8" s="14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14"/>
      <c r="B9" s="142"/>
      <c r="C9" s="9"/>
      <c r="D9" s="9"/>
      <c r="E9" s="14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9"/>
      <c r="B10" s="19"/>
      <c r="C10" s="9"/>
      <c r="D10" s="9"/>
      <c r="E10" s="14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>
      <c r="A11" s="138" t="s">
        <v>43</v>
      </c>
      <c r="B11" s="9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>
      <c r="A12" s="9" t="s">
        <v>231</v>
      </c>
      <c r="B12" s="9"/>
    </row>
    <row r="13" spans="1:22">
      <c r="A13" s="9"/>
      <c r="B13" s="9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>
      <c r="A14" s="144" t="s">
        <v>44</v>
      </c>
      <c r="B14" s="9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9" t="s">
        <v>194</v>
      </c>
      <c r="B15" s="145"/>
      <c r="C15" s="146">
        <v>60.97229916897507</v>
      </c>
      <c r="D15" s="146">
        <v>62.131742415801384</v>
      </c>
      <c r="E15" s="146">
        <v>63.313233521424777</v>
      </c>
      <c r="F15" s="146">
        <v>64.517191745760613</v>
      </c>
      <c r="G15" s="146">
        <v>65.744044321329639</v>
      </c>
      <c r="H15" s="146">
        <v>64.64769576191091</v>
      </c>
      <c r="I15" s="146">
        <v>63.569629925682506</v>
      </c>
      <c r="J15" s="146">
        <v>62.50954192970881</v>
      </c>
      <c r="K15" s="146">
        <v>61.467131975286122</v>
      </c>
      <c r="L15" s="146">
        <v>60.442105263157892</v>
      </c>
      <c r="M15" s="146">
        <v>59.792038989376501</v>
      </c>
      <c r="N15" s="146">
        <v>59.148964301319459</v>
      </c>
      <c r="O15" s="146">
        <v>58.512806003159973</v>
      </c>
      <c r="P15" s="146">
        <v>57.883489707816537</v>
      </c>
      <c r="Q15" s="146">
        <v>57.26094182825485</v>
      </c>
      <c r="R15" s="146">
        <v>56.386317952681878</v>
      </c>
      <c r="S15" s="146">
        <v>55.525053391491426</v>
      </c>
      <c r="T15" s="146">
        <v>54.676944089791142</v>
      </c>
      <c r="U15" s="146">
        <v>53.841789109495259</v>
      </c>
      <c r="V15" s="146">
        <v>53.019390581717452</v>
      </c>
    </row>
    <row r="16" spans="1:22">
      <c r="A16" s="9"/>
      <c r="B16" s="9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>
      <c r="A17" s="144" t="s">
        <v>45</v>
      </c>
      <c r="B17" s="9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>
      <c r="A18" s="9" t="s">
        <v>195</v>
      </c>
      <c r="B18" s="147"/>
      <c r="C18" s="146">
        <f>C15*(1+'Power Price Assumption'!$C$8)^(C4-1998)</f>
        <v>66.626077554016618</v>
      </c>
      <c r="D18" s="146">
        <f>D15*(1+'Power Price Assumption'!$C$8)^(D4-1998)</f>
        <v>69.929823469635139</v>
      </c>
      <c r="E18" s="146">
        <f>E15*(1+'Power Price Assumption'!$C$8)^(E4-1998)</f>
        <v>73.397390181489428</v>
      </c>
      <c r="F18" s="146">
        <f>F15*(1+'Power Price Assumption'!$C$8)^(F4-1998)</f>
        <v>77.036900969627297</v>
      </c>
      <c r="G18" s="146">
        <f>G15*(1+'Power Price Assumption'!$C$8)^(G4-1998)</f>
        <v>80.85688191813766</v>
      </c>
      <c r="H18" s="146">
        <f>H15*(1+'Power Price Assumption'!$C$8)^(H4-1998)</f>
        <v>81.893766821837715</v>
      </c>
      <c r="I18" s="146">
        <f>I15*(1+'Power Price Assumption'!$C$8)^(I4-1998)</f>
        <v>82.943948432979582</v>
      </c>
      <c r="J18" s="146">
        <f>J15*(1+'Power Price Assumption'!$C$8)^(J4-1998)</f>
        <v>84.00759726463383</v>
      </c>
      <c r="K18" s="146">
        <f>K15*(1+'Power Price Assumption'!$C$8)^(K4-1998)</f>
        <v>85.084886016480638</v>
      </c>
      <c r="L18" s="146">
        <f>L15*(1+'Power Price Assumption'!$C$8)^(L4-1998)</f>
        <v>86.17598960285008</v>
      </c>
      <c r="M18" s="146">
        <f>M15*(1+'Power Price Assumption'!$C$8)^(M4-1998)</f>
        <v>87.806625051909762</v>
      </c>
      <c r="N18" s="146">
        <f>N15*(1+'Power Price Assumption'!$C$8)^(N4-1998)</f>
        <v>89.468115637997585</v>
      </c>
      <c r="O18" s="146">
        <f>O15*(1+'Power Price Assumption'!$C$8)^(O4-1998)</f>
        <v>91.161045206804843</v>
      </c>
      <c r="P18" s="146">
        <f>P15*(1+'Power Price Assumption'!$C$8)^(P4-1998)</f>
        <v>92.886008651641561</v>
      </c>
      <c r="Q18" s="146">
        <f>Q15*(1+'Power Price Assumption'!$C$8)^(Q4-1998)</f>
        <v>94.643612122481485</v>
      </c>
      <c r="R18" s="146">
        <f>R15*(1+'Power Price Assumption'!$C$8)^(R4-1998)</f>
        <v>95.993931884230719</v>
      </c>
      <c r="S18" s="146">
        <f>S15*(1+'Power Price Assumption'!$C$8)^(S4-1998)</f>
        <v>97.363517219409388</v>
      </c>
      <c r="T18" s="146">
        <f>T15*(1+'Power Price Assumption'!$C$8)^(T4-1998)</f>
        <v>98.752642997963164</v>
      </c>
      <c r="U18" s="146">
        <f>U15*(1+'Power Price Assumption'!$C$8)^(U4-1998)</f>
        <v>100.16158801152146</v>
      </c>
      <c r="V18" s="146">
        <f>V15*(1+'Power Price Assumption'!$C$8)^(V4-1998)</f>
        <v>101.59063502934997</v>
      </c>
    </row>
    <row r="19" spans="1:22" ht="13.5" thickBot="1">
      <c r="A19" s="9"/>
      <c r="B19" s="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3.5" thickBot="1">
      <c r="A20" s="150" t="s">
        <v>232</v>
      </c>
      <c r="B20" s="134"/>
      <c r="C20" s="151">
        <f>C18/12</f>
        <v>5.5521731295013845</v>
      </c>
      <c r="D20" s="151">
        <f t="shared" ref="D20:V20" si="0">D18/12</f>
        <v>5.8274852891362618</v>
      </c>
      <c r="E20" s="151">
        <f t="shared" si="0"/>
        <v>6.1164491817907853</v>
      </c>
      <c r="F20" s="151">
        <f t="shared" si="0"/>
        <v>6.4197417474689411</v>
      </c>
      <c r="G20" s="151">
        <f t="shared" si="0"/>
        <v>6.7380734931781383</v>
      </c>
      <c r="H20" s="151">
        <f t="shared" si="0"/>
        <v>6.824480568486476</v>
      </c>
      <c r="I20" s="151">
        <f t="shared" si="0"/>
        <v>6.9119957027482988</v>
      </c>
      <c r="J20" s="151">
        <f t="shared" si="0"/>
        <v>7.0006331053861528</v>
      </c>
      <c r="K20" s="151">
        <f t="shared" si="0"/>
        <v>7.0904071680400529</v>
      </c>
      <c r="L20" s="151">
        <f t="shared" si="0"/>
        <v>7.1813324669041734</v>
      </c>
      <c r="M20" s="151">
        <f t="shared" si="0"/>
        <v>7.3172187543258138</v>
      </c>
      <c r="N20" s="151">
        <f t="shared" si="0"/>
        <v>7.4556763031664657</v>
      </c>
      <c r="O20" s="151">
        <f t="shared" si="0"/>
        <v>7.5967537672337366</v>
      </c>
      <c r="P20" s="151">
        <f t="shared" si="0"/>
        <v>7.7405007209701298</v>
      </c>
      <c r="Q20" s="151">
        <f t="shared" si="0"/>
        <v>7.8869676768734571</v>
      </c>
      <c r="R20" s="151">
        <f t="shared" si="0"/>
        <v>7.9994943236858935</v>
      </c>
      <c r="S20" s="151">
        <f t="shared" si="0"/>
        <v>8.113626434950783</v>
      </c>
      <c r="T20" s="151">
        <f t="shared" si="0"/>
        <v>8.2293869164969298</v>
      </c>
      <c r="U20" s="151">
        <f t="shared" si="0"/>
        <v>8.3467990009601216</v>
      </c>
      <c r="V20" s="151">
        <f t="shared" si="0"/>
        <v>8.4658862524458307</v>
      </c>
    </row>
    <row r="21" spans="1:22" s="6" customFormat="1">
      <c r="A21" s="14"/>
      <c r="B21" s="9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>
      <c r="A22" s="9"/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>
      <c r="A23" s="138" t="s">
        <v>47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9" t="s">
        <v>48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144" t="s">
        <v>44</v>
      </c>
      <c r="B26" s="9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>
      <c r="A27" s="9" t="s">
        <v>194</v>
      </c>
      <c r="B27" s="152"/>
      <c r="C27" s="146">
        <v>63.677659574468088</v>
      </c>
      <c r="D27" s="146">
        <v>65.100779776943028</v>
      </c>
      <c r="E27" s="146">
        <v>66.555705028853311</v>
      </c>
      <c r="F27" s="146">
        <v>68.043146135349346</v>
      </c>
      <c r="G27" s="146">
        <v>69.563829787234042</v>
      </c>
      <c r="H27" s="146">
        <v>68.90950818778056</v>
      </c>
      <c r="I27" s="146">
        <v>68.261341176951959</v>
      </c>
      <c r="J27" s="146">
        <v>67.619270864314558</v>
      </c>
      <c r="K27" s="146">
        <v>66.983239903955678</v>
      </c>
      <c r="L27" s="146">
        <v>66.353191489361706</v>
      </c>
      <c r="M27" s="146">
        <v>65.246684783649414</v>
      </c>
      <c r="N27" s="146">
        <v>64.158630198510451</v>
      </c>
      <c r="O27" s="146">
        <v>63.088720026136173</v>
      </c>
      <c r="P27" s="146">
        <v>62.036651690057468</v>
      </c>
      <c r="Q27" s="146">
        <v>61.002127659574469</v>
      </c>
      <c r="R27" s="146">
        <v>60.120860172387651</v>
      </c>
      <c r="S27" s="146">
        <v>59.25232391956542</v>
      </c>
      <c r="T27" s="146">
        <v>58.396334979278365</v>
      </c>
      <c r="U27" s="146">
        <v>57.55271208672454</v>
      </c>
      <c r="V27" s="146">
        <v>56.721276595744683</v>
      </c>
    </row>
    <row r="28" spans="1:22">
      <c r="A28" s="9"/>
      <c r="B28" s="152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</row>
    <row r="29" spans="1:22">
      <c r="A29" s="144" t="s">
        <v>45</v>
      </c>
      <c r="B29" s="152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</row>
    <row r="30" spans="1:22">
      <c r="A30" s="9" t="s">
        <v>195</v>
      </c>
      <c r="B30" s="152"/>
      <c r="C30" s="154">
        <f>C27*(1+'Power Price Assumption'!$C$8)^(C4-1998)</f>
        <v>69.582297913829791</v>
      </c>
      <c r="D30" s="154">
        <f>D27*(1+'Power Price Assumption'!$C$8)^(D4-1998)</f>
        <v>73.271501176819214</v>
      </c>
      <c r="E30" s="154">
        <f>E27*(1+'Power Price Assumption'!$C$8)^(E4-1998)</f>
        <v>77.156303336707765</v>
      </c>
      <c r="F30" s="154">
        <f>F27*(1+'Power Price Assumption'!$C$8)^(F4-1998)</f>
        <v>81.247074905972227</v>
      </c>
      <c r="G30" s="154">
        <f>G27*(1+'Power Price Assumption'!$C$8)^(G4-1998)</f>
        <v>85.554736234183238</v>
      </c>
      <c r="H30" s="154">
        <f>H27*(1+'Power Price Assumption'!$C$8)^(H4-1998)</f>
        <v>87.292503295415372</v>
      </c>
      <c r="I30" s="154">
        <f>I27*(1+'Power Price Assumption'!$C$8)^(I4-1998)</f>
        <v>89.065567459905907</v>
      </c>
      <c r="J30" s="154">
        <f>J27*(1+'Power Price Assumption'!$C$8)^(J4-1998)</f>
        <v>90.874645673859078</v>
      </c>
      <c r="K30" s="154">
        <f>K27*(1+'Power Price Assumption'!$C$8)^(K4-1998)</f>
        <v>92.720469445916706</v>
      </c>
      <c r="L30" s="154">
        <f>L27*(1+'Power Price Assumption'!$C$8)^(L4-1998)</f>
        <v>94.603785142946663</v>
      </c>
      <c r="M30" s="154">
        <f>M27*(1+'Power Price Assumption'!$C$8)^(M4-1998)</f>
        <v>95.816956295736318</v>
      </c>
      <c r="N30" s="154">
        <f>N27*(1+'Power Price Assumption'!$C$8)^(N4-1998)</f>
        <v>97.045684799045745</v>
      </c>
      <c r="O30" s="154">
        <f>O27*(1+'Power Price Assumption'!$C$8)^(O4-1998)</f>
        <v>98.29017015576828</v>
      </c>
      <c r="P30" s="154">
        <f>P27*(1+'Power Price Assumption'!$C$8)^(P4-1998)</f>
        <v>99.550614427163865</v>
      </c>
      <c r="Q30" s="154">
        <f>Q27*(1+'Power Price Assumption'!$C$8)^(Q4-1998)</f>
        <v>100.82722226566673</v>
      </c>
      <c r="R30" s="154">
        <f>R27*(1+'Power Price Assumption'!$C$8)^(R4-1998)</f>
        <v>102.35174002765409</v>
      </c>
      <c r="S30" s="154">
        <f>S27*(1+'Power Price Assumption'!$C$8)^(S4-1998)</f>
        <v>103.89930865184301</v>
      </c>
      <c r="T30" s="154">
        <f>T27*(1+'Power Price Assumption'!$C$8)^(T4-1998)</f>
        <v>105.47027666959309</v>
      </c>
      <c r="U30" s="154">
        <f>U27*(1+'Power Price Assumption'!$C$8)^(U4-1998)</f>
        <v>107.06499788209312</v>
      </c>
      <c r="V30" s="154">
        <f>V27*(1+'Power Price Assumption'!$C$8)^(V4-1998)</f>
        <v>108.68383144004159</v>
      </c>
    </row>
    <row r="31" spans="1:22" ht="13.5" thickBot="1">
      <c r="A31" s="9"/>
      <c r="B31" s="9"/>
      <c r="C31" s="139"/>
      <c r="D31" s="139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</row>
    <row r="32" spans="1:22" ht="13.5" thickBot="1">
      <c r="A32" s="150" t="s">
        <v>220</v>
      </c>
      <c r="B32" s="134"/>
      <c r="C32" s="151">
        <f>C30/12</f>
        <v>5.7985248261524829</v>
      </c>
      <c r="D32" s="151">
        <f t="shared" ref="D32:V32" si="1">D30/12</f>
        <v>6.1059584314016009</v>
      </c>
      <c r="E32" s="151">
        <f t="shared" si="1"/>
        <v>6.4296919447256471</v>
      </c>
      <c r="F32" s="151">
        <f t="shared" si="1"/>
        <v>6.7705895754976853</v>
      </c>
      <c r="G32" s="151">
        <f t="shared" si="1"/>
        <v>7.1295613528486035</v>
      </c>
      <c r="H32" s="151">
        <f t="shared" si="1"/>
        <v>7.274375274617948</v>
      </c>
      <c r="I32" s="151">
        <f t="shared" si="1"/>
        <v>7.4221306216588259</v>
      </c>
      <c r="J32" s="151">
        <f t="shared" si="1"/>
        <v>7.5728871394882562</v>
      </c>
      <c r="K32" s="151">
        <f t="shared" si="1"/>
        <v>7.7267057871597258</v>
      </c>
      <c r="L32" s="151">
        <f t="shared" si="1"/>
        <v>7.8836487619122222</v>
      </c>
      <c r="M32" s="151">
        <f t="shared" si="1"/>
        <v>7.9847463579780262</v>
      </c>
      <c r="N32" s="151">
        <f t="shared" si="1"/>
        <v>8.0871403999204787</v>
      </c>
      <c r="O32" s="151">
        <f t="shared" si="1"/>
        <v>8.1908475129806906</v>
      </c>
      <c r="P32" s="151">
        <f t="shared" si="1"/>
        <v>8.2958845355969881</v>
      </c>
      <c r="Q32" s="151">
        <f t="shared" si="1"/>
        <v>8.4022685221388951</v>
      </c>
      <c r="R32" s="151">
        <f t="shared" si="1"/>
        <v>8.5293116689711734</v>
      </c>
      <c r="S32" s="151">
        <f t="shared" si="1"/>
        <v>8.6582757209869179</v>
      </c>
      <c r="T32" s="151">
        <f t="shared" si="1"/>
        <v>8.7891897224660909</v>
      </c>
      <c r="U32" s="151">
        <f t="shared" si="1"/>
        <v>8.9220831568410937</v>
      </c>
      <c r="V32" s="151">
        <f t="shared" si="1"/>
        <v>9.0569859533367989</v>
      </c>
    </row>
    <row r="33" spans="1:22">
      <c r="A33" s="9"/>
      <c r="B33" s="152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</row>
    <row r="34" spans="1:22">
      <c r="A34" s="9"/>
      <c r="B34" s="152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</row>
    <row r="35" spans="1:22">
      <c r="A35" s="138" t="s">
        <v>192</v>
      </c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>
      <c r="A36" s="9" t="s">
        <v>46</v>
      </c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>
      <c r="A37" s="9"/>
      <c r="B37" s="152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>
      <c r="A38" s="144" t="s">
        <v>44</v>
      </c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>
      <c r="A39" s="9" t="s">
        <v>194</v>
      </c>
      <c r="B39" s="152"/>
      <c r="C39" s="146">
        <v>64.11023686899189</v>
      </c>
      <c r="D39" s="146">
        <v>65.16178520495788</v>
      </c>
      <c r="E39" s="146">
        <v>66.230581237342975</v>
      </c>
      <c r="F39" s="146">
        <v>67.31690786615431</v>
      </c>
      <c r="G39" s="146">
        <v>68.421052631578945</v>
      </c>
      <c r="H39" s="146">
        <v>67.767228351637073</v>
      </c>
      <c r="I39" s="146">
        <v>67.119651946765785</v>
      </c>
      <c r="J39" s="146">
        <v>66.478263712937448</v>
      </c>
      <c r="K39" s="146">
        <v>65.843004516649714</v>
      </c>
      <c r="L39" s="146">
        <v>65.213815789473685</v>
      </c>
      <c r="M39" s="146">
        <v>64.559364113585431</v>
      </c>
      <c r="N39" s="146">
        <v>63.911480171710068</v>
      </c>
      <c r="O39" s="146">
        <v>63.270098053511326</v>
      </c>
      <c r="P39" s="146">
        <v>62.63515251009445</v>
      </c>
      <c r="Q39" s="146">
        <v>62.006578947368418</v>
      </c>
      <c r="R39" s="146">
        <v>61.12669629598323</v>
      </c>
      <c r="S39" s="146">
        <v>60.259299311334551</v>
      </c>
      <c r="T39" s="146">
        <v>59.404210819939543</v>
      </c>
      <c r="U39" s="146">
        <v>58.561256162433608</v>
      </c>
      <c r="V39" s="146">
        <v>57.73026315789474</v>
      </c>
    </row>
    <row r="40" spans="1:22">
      <c r="A40" s="91"/>
      <c r="B40" s="9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>
      <c r="A41" s="144" t="s">
        <v>45</v>
      </c>
      <c r="B41" s="9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>
      <c r="A42" s="9" t="s">
        <v>195</v>
      </c>
      <c r="B42" s="9"/>
      <c r="C42" s="146">
        <f>C39*(1+'Power Price Assumption'!$C$8)^(C4-1998)</f>
        <v>70.054986803142896</v>
      </c>
      <c r="D42" s="146">
        <f>D39*(1+'Power Price Assumption'!$C$8)^(D4-1998)</f>
        <v>73.340163323507738</v>
      </c>
      <c r="E42" s="146">
        <f>E39*(1+'Power Price Assumption'!$C$8)^(E4-1998)</f>
        <v>76.779395754271718</v>
      </c>
      <c r="F42" s="146">
        <f>F39*(1+'Power Price Assumption'!$C$8)^(F4-1998)</f>
        <v>80.379908432812655</v>
      </c>
      <c r="G42" s="146">
        <f>G39*(1+'Power Price Assumption'!$C$8)^(G4-1998)</f>
        <v>84.149264476438475</v>
      </c>
      <c r="H42" s="146">
        <f>H39*(1+'Power Price Assumption'!$C$8)^(H4-1998)</f>
        <v>85.845497374416453</v>
      </c>
      <c r="I42" s="146">
        <f>I39*(1+'Power Price Assumption'!$C$8)^(I4-1998)</f>
        <v>87.575921968092345</v>
      </c>
      <c r="J42" s="146">
        <f>J39*(1+'Power Price Assumption'!$C$8)^(J4-1998)</f>
        <v>89.341227474174616</v>
      </c>
      <c r="K42" s="146">
        <f>K39*(1+'Power Price Assumption'!$C$8)^(K4-1998)</f>
        <v>91.142117002209176</v>
      </c>
      <c r="L42" s="146">
        <f>L39*(1+'Power Price Assumption'!$C$8)^(L4-1998)</f>
        <v>92.979307834623327</v>
      </c>
      <c r="M42" s="146">
        <f>M39*(1+'Power Price Assumption'!$C$8)^(M4-1998)</f>
        <v>94.807602719795241</v>
      </c>
      <c r="N42" s="146">
        <f>N39*(1+'Power Price Assumption'!$C$8)^(N4-1998)</f>
        <v>96.67184820800982</v>
      </c>
      <c r="O42" s="146">
        <f>O39*(1+'Power Price Assumption'!$C$8)^(O4-1998)</f>
        <v>98.572751212506091</v>
      </c>
      <c r="P42" s="146">
        <f>P39*(1+'Power Price Assumption'!$C$8)^(P4-1998)</f>
        <v>100.51103254688311</v>
      </c>
      <c r="Q42" s="146">
        <f>Q39*(1+'Power Price Assumption'!$C$8)^(Q4-1998)</f>
        <v>102.48742719842927</v>
      </c>
      <c r="R42" s="146">
        <f>R39*(1+'Power Price Assumption'!$C$8)^(R4-1998)</f>
        <v>104.06410869865259</v>
      </c>
      <c r="S42" s="146">
        <f>S39*(1+'Power Price Assumption'!$C$8)^(S4-1998)</f>
        <v>105.66504609660987</v>
      </c>
      <c r="T42" s="146">
        <f>T39*(1+'Power Price Assumption'!$C$8)^(T4-1998)</f>
        <v>107.29061254856313</v>
      </c>
      <c r="U42" s="146">
        <f>U39*(1+'Power Price Assumption'!$C$8)^(U4-1998)</f>
        <v>108.94118695146447</v>
      </c>
      <c r="V42" s="146">
        <f>V39*(1+'Power Price Assumption'!$C$8)^(V4-1998)</f>
        <v>110.61715403127204</v>
      </c>
    </row>
    <row r="43" spans="1:22" ht="13.5" thickBot="1">
      <c r="A43" s="9"/>
      <c r="B43" s="9"/>
      <c r="C43" s="139"/>
      <c r="D43" s="139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</row>
    <row r="44" spans="1:22" ht="13.5" thickBot="1">
      <c r="A44" s="150" t="s">
        <v>222</v>
      </c>
      <c r="B44" s="134"/>
      <c r="C44" s="151">
        <f>C42/12</f>
        <v>5.8379155669285749</v>
      </c>
      <c r="D44" s="151">
        <f t="shared" ref="D44:V44" si="2">D42/12</f>
        <v>6.1116802769589782</v>
      </c>
      <c r="E44" s="151">
        <f t="shared" si="2"/>
        <v>6.3982829795226435</v>
      </c>
      <c r="F44" s="151">
        <f t="shared" si="2"/>
        <v>6.6983257027343877</v>
      </c>
      <c r="G44" s="151">
        <f t="shared" si="2"/>
        <v>7.0124387063698732</v>
      </c>
      <c r="H44" s="151">
        <f t="shared" si="2"/>
        <v>7.1537914478680378</v>
      </c>
      <c r="I44" s="151">
        <f t="shared" si="2"/>
        <v>7.2979934973410288</v>
      </c>
      <c r="J44" s="151">
        <f t="shared" si="2"/>
        <v>7.4451022895145513</v>
      </c>
      <c r="K44" s="151">
        <f t="shared" si="2"/>
        <v>7.5951764168507649</v>
      </c>
      <c r="L44" s="151">
        <f t="shared" si="2"/>
        <v>7.748275652885277</v>
      </c>
      <c r="M44" s="151">
        <f t="shared" si="2"/>
        <v>7.9006335599829365</v>
      </c>
      <c r="N44" s="151">
        <f t="shared" si="2"/>
        <v>8.0559873506674844</v>
      </c>
      <c r="O44" s="151">
        <f t="shared" si="2"/>
        <v>8.2143959343755082</v>
      </c>
      <c r="P44" s="151">
        <f t="shared" si="2"/>
        <v>8.3759193789069268</v>
      </c>
      <c r="Q44" s="151">
        <f t="shared" si="2"/>
        <v>8.54061893320244</v>
      </c>
      <c r="R44" s="151">
        <f t="shared" si="2"/>
        <v>8.6720090582210485</v>
      </c>
      <c r="S44" s="151">
        <f t="shared" si="2"/>
        <v>8.8054205080508225</v>
      </c>
      <c r="T44" s="151">
        <f t="shared" si="2"/>
        <v>8.9408843790469277</v>
      </c>
      <c r="U44" s="151">
        <f t="shared" si="2"/>
        <v>9.0784322459553728</v>
      </c>
      <c r="V44" s="151">
        <f t="shared" si="2"/>
        <v>9.2180961692726697</v>
      </c>
    </row>
  </sheetData>
  <pageMargins left="0.75" right="0.75" top="1" bottom="1" header="0.5" footer="0.5"/>
  <pageSetup scale="64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0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5.5703125" style="5" customWidth="1"/>
    <col min="2" max="13" width="9" style="5" bestFit="1" customWidth="1"/>
    <col min="14" max="21" width="10.28515625" style="5" bestFit="1" customWidth="1"/>
    <col min="22" max="22" width="12.5703125" style="96" customWidth="1"/>
    <col min="23" max="23" width="9.7109375" style="96" bestFit="1" customWidth="1"/>
    <col min="24" max="24" width="9.7109375" style="5" bestFit="1" customWidth="1"/>
    <col min="25" max="25" width="7.28515625" style="5" bestFit="1" customWidth="1"/>
    <col min="26" max="45" width="7.7109375" style="5" bestFit="1" customWidth="1"/>
    <col min="46" max="16384" width="9.140625" style="5"/>
  </cols>
  <sheetData>
    <row r="2" spans="1:45" ht="18">
      <c r="A2" s="157" t="s">
        <v>137</v>
      </c>
      <c r="B2" s="158"/>
    </row>
    <row r="3" spans="1:45" ht="16.5" customHeight="1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</row>
    <row r="4" spans="1:45">
      <c r="A4" s="15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45" s="96" customFormat="1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  <c r="V5" s="164"/>
      <c r="W5" s="164"/>
      <c r="Y5" s="165">
        <f>SUM(Z5:AS5)-SUM(Z6:AS6)</f>
        <v>0</v>
      </c>
      <c r="Z5" s="166">
        <f t="shared" ref="Z5:AS5" si="0">B12</f>
        <v>6849.4233631044517</v>
      </c>
      <c r="AA5" s="166">
        <f t="shared" si="0"/>
        <v>7054.9060639975851</v>
      </c>
      <c r="AB5" s="166">
        <f t="shared" si="0"/>
        <v>7266.5532459175129</v>
      </c>
      <c r="AC5" s="166">
        <f t="shared" si="0"/>
        <v>7484.5498432950371</v>
      </c>
      <c r="AD5" s="166">
        <f t="shared" si="0"/>
        <v>7709.0863385938883</v>
      </c>
      <c r="AE5" s="166">
        <f t="shared" si="0"/>
        <v>7940.3589287517043</v>
      </c>
      <c r="AF5" s="166">
        <f t="shared" si="0"/>
        <v>8178.5696966142568</v>
      </c>
      <c r="AG5" s="166">
        <f t="shared" si="0"/>
        <v>8423.9267875126843</v>
      </c>
      <c r="AH5" s="166">
        <f t="shared" si="0"/>
        <v>8676.6445911380633</v>
      </c>
      <c r="AI5" s="166">
        <f t="shared" si="0"/>
        <v>8936.9439288722078</v>
      </c>
      <c r="AJ5" s="166">
        <f t="shared" si="0"/>
        <v>9205.0522467383726</v>
      </c>
      <c r="AK5" s="166">
        <f t="shared" si="0"/>
        <v>9481.2038141405228</v>
      </c>
      <c r="AL5" s="166">
        <f t="shared" si="0"/>
        <v>9765.6399285647367</v>
      </c>
      <c r="AM5" s="166">
        <f t="shared" si="0"/>
        <v>10058.609126421679</v>
      </c>
      <c r="AN5" s="166">
        <f t="shared" si="0"/>
        <v>10360.367400214333</v>
      </c>
      <c r="AO5" s="166">
        <f t="shared" si="0"/>
        <v>10671.178422220759</v>
      </c>
      <c r="AP5" s="166">
        <f t="shared" si="0"/>
        <v>10991.313774887383</v>
      </c>
      <c r="AQ5" s="166">
        <f t="shared" si="0"/>
        <v>11321.053188134003</v>
      </c>
      <c r="AR5" s="166">
        <f t="shared" si="0"/>
        <v>11660.684783778026</v>
      </c>
      <c r="AS5" s="166">
        <f t="shared" si="0"/>
        <v>12010.505327291365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Y6" s="165">
        <v>0</v>
      </c>
      <c r="Z6" s="169">
        <f t="shared" ref="Z6:AS6" si="1">B19+1/3*B20</f>
        <v>6849.4233631044517</v>
      </c>
      <c r="AA6" s="169">
        <f t="shared" si="1"/>
        <v>7054.906063997586</v>
      </c>
      <c r="AB6" s="169">
        <f t="shared" si="1"/>
        <v>7266.5532459175129</v>
      </c>
      <c r="AC6" s="169">
        <f t="shared" si="1"/>
        <v>7484.5498432950371</v>
      </c>
      <c r="AD6" s="169">
        <f t="shared" si="1"/>
        <v>7709.0863385938883</v>
      </c>
      <c r="AE6" s="169">
        <f t="shared" si="1"/>
        <v>7940.3589287517052</v>
      </c>
      <c r="AF6" s="169">
        <f t="shared" si="1"/>
        <v>8178.5696966142577</v>
      </c>
      <c r="AG6" s="169">
        <f t="shared" si="1"/>
        <v>8423.9267875126825</v>
      </c>
      <c r="AH6" s="169">
        <f t="shared" si="1"/>
        <v>8676.6445911380652</v>
      </c>
      <c r="AI6" s="169">
        <f t="shared" si="1"/>
        <v>8936.9439288722078</v>
      </c>
      <c r="AJ6" s="169">
        <f t="shared" si="1"/>
        <v>9205.0522467383726</v>
      </c>
      <c r="AK6" s="169">
        <f t="shared" si="1"/>
        <v>9481.2038141405228</v>
      </c>
      <c r="AL6" s="169">
        <f t="shared" si="1"/>
        <v>9765.6399285647367</v>
      </c>
      <c r="AM6" s="169">
        <f t="shared" si="1"/>
        <v>10058.609126421681</v>
      </c>
      <c r="AN6" s="169">
        <f t="shared" si="1"/>
        <v>10360.367400214334</v>
      </c>
      <c r="AO6" s="169">
        <f t="shared" si="1"/>
        <v>10671.178422220761</v>
      </c>
      <c r="AP6" s="169">
        <f t="shared" si="1"/>
        <v>10991.313774887385</v>
      </c>
      <c r="AQ6" s="169">
        <f t="shared" si="1"/>
        <v>11321.053188134005</v>
      </c>
      <c r="AR6" s="169">
        <f t="shared" si="1"/>
        <v>11660.684783778024</v>
      </c>
      <c r="AS6" s="169">
        <f t="shared" si="1"/>
        <v>12010.505327291366</v>
      </c>
    </row>
    <row r="7" spans="1:45">
      <c r="A7" s="167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</row>
    <row r="8" spans="1:45">
      <c r="A8" s="171" t="s">
        <v>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72"/>
      <c r="W8" s="172"/>
    </row>
    <row r="9" spans="1:45">
      <c r="A9" s="173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2"/>
      <c r="W9" s="172"/>
    </row>
    <row r="10" spans="1:45">
      <c r="A10" s="173" t="s">
        <v>227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W10" s="176"/>
      <c r="X10" s="178"/>
      <c r="Y10" s="178"/>
    </row>
    <row r="11" spans="1:45">
      <c r="A11" s="175" t="s">
        <v>51</v>
      </c>
      <c r="B11" s="174">
        <f>SUM(Wheatland!B9,Wilton!B9,Gleason!B9)</f>
        <v>109276.41154835936</v>
      </c>
      <c r="C11" s="174">
        <f>SUM(Wheatland!C9,Wilton!C9,Gleason!C9)</f>
        <v>114692.63482331166</v>
      </c>
      <c r="D11" s="174">
        <f>SUM(Wheatland!D9,Wilton!D9,Gleason!D9)</f>
        <v>120378.00417940944</v>
      </c>
      <c r="E11" s="174">
        <f>SUM(Wheatland!E9,Wilton!E9,Gleason!E9)</f>
        <v>126345.92902746696</v>
      </c>
      <c r="F11" s="174">
        <f>SUM(Wheatland!F9,Wilton!F9,Gleason!F9)</f>
        <v>132610.48860999092</v>
      </c>
      <c r="G11" s="174">
        <f>SUM(Wheatland!G9,Wilton!G9,Gleason!G9)</f>
        <v>134987.36003162767</v>
      </c>
      <c r="H11" s="174">
        <f>SUM(Wheatland!H9,Wilton!H9,Gleason!H9)</f>
        <v>137408.39096357551</v>
      </c>
      <c r="I11" s="174">
        <f>SUM(Wheatland!I9,Wilton!I9,Gleason!I9)</f>
        <v>139874.42437597518</v>
      </c>
      <c r="J11" s="174">
        <f>SUM(Wheatland!J9,Wilton!J9,Gleason!J9)</f>
        <v>142386.31964532915</v>
      </c>
      <c r="K11" s="174">
        <f>SUM(Wheatland!K9,Wilton!K9,Gleason!K9)</f>
        <v>144944.95287808945</v>
      </c>
      <c r="L11" s="174">
        <f>SUM(Wheatland!L9,Wilton!L9,Gleason!L9)</f>
        <v>147458.37068910556</v>
      </c>
      <c r="M11" s="174">
        <f>SUM(Wheatland!M9,Wilton!M9,Gleason!M9)</f>
        <v>150016.69454140024</v>
      </c>
      <c r="N11" s="174">
        <f>SUM(Wheatland!N9,Wilton!N9,Gleason!N9)</f>
        <v>152620.74576588528</v>
      </c>
      <c r="O11" s="174">
        <f>SUM(Wheatland!O9,Wilton!O9,Gleason!O9)</f>
        <v>155271.36098160915</v>
      </c>
      <c r="P11" s="174">
        <f>SUM(Wheatland!P9,Wilton!P9,Gleason!P9)</f>
        <v>157969.39238397393</v>
      </c>
      <c r="Q11" s="174">
        <f>SUM(Wheatland!Q9,Wilton!Q9,Gleason!Q9)</f>
        <v>160333.20116273584</v>
      </c>
      <c r="R11" s="174">
        <f>SUM(Wheatland!R9,Wilton!R9,Gleason!R9)</f>
        <v>162732.41687500384</v>
      </c>
      <c r="S11" s="174">
        <f>SUM(Wheatland!S9,Wilton!S9,Gleason!S9)</f>
        <v>165167.57039319634</v>
      </c>
      <c r="T11" s="174">
        <f>SUM(Wheatland!T9,Wilton!T9,Gleason!T9)</f>
        <v>167639.20055695012</v>
      </c>
      <c r="U11" s="174">
        <f>SUM(Wheatland!U9,Wilton!U9,Gleason!U9)</f>
        <v>170147.85429280144</v>
      </c>
      <c r="W11" s="176">
        <f>SUM(B11:U11)</f>
        <v>2892261.7237257976</v>
      </c>
      <c r="X11" s="177">
        <f>SUM(Wheatland!W9,Wilton!W9,Gleason!W9)</f>
        <v>2892261.7237257967</v>
      </c>
      <c r="Y11" s="177">
        <f>W11-X11</f>
        <v>0</v>
      </c>
    </row>
    <row r="12" spans="1:45">
      <c r="A12" s="175" t="s">
        <v>52</v>
      </c>
      <c r="B12" s="174">
        <f>SUM(Wheatland!B10,Wilton!B10,Gleason!B10)</f>
        <v>6849.4233631044517</v>
      </c>
      <c r="C12" s="174">
        <f>SUM(Wheatland!C10,Wilton!C10,Gleason!C10)</f>
        <v>7054.9060639975851</v>
      </c>
      <c r="D12" s="174">
        <f>SUM(Wheatland!D10,Wilton!D10,Gleason!D10)</f>
        <v>7266.5532459175129</v>
      </c>
      <c r="E12" s="174">
        <f>SUM(Wheatland!E10,Wilton!E10,Gleason!E10)</f>
        <v>7484.5498432950371</v>
      </c>
      <c r="F12" s="174">
        <f>SUM(Wheatland!F10,Wilton!F10,Gleason!F10)</f>
        <v>7709.0863385938883</v>
      </c>
      <c r="G12" s="174">
        <f>SUM(Wheatland!G10,Wilton!G10,Gleason!G10)</f>
        <v>7940.3589287517043</v>
      </c>
      <c r="H12" s="174">
        <f>SUM(Wheatland!H10,Wilton!H10,Gleason!H10)</f>
        <v>8178.5696966142568</v>
      </c>
      <c r="I12" s="174">
        <f>SUM(Wheatland!I10,Wilton!I10,Gleason!I10)</f>
        <v>8423.9267875126843</v>
      </c>
      <c r="J12" s="174">
        <f>SUM(Wheatland!J10,Wilton!J10,Gleason!J10)</f>
        <v>8676.6445911380633</v>
      </c>
      <c r="K12" s="174">
        <f>SUM(Wheatland!K10,Wilton!K10,Gleason!K10)</f>
        <v>8936.9439288722078</v>
      </c>
      <c r="L12" s="174">
        <f>SUM(Wheatland!L10,Wilton!L10,Gleason!L10)</f>
        <v>9205.0522467383726</v>
      </c>
      <c r="M12" s="174">
        <f>SUM(Wheatland!M10,Wilton!M10,Gleason!M10)</f>
        <v>9481.2038141405228</v>
      </c>
      <c r="N12" s="174">
        <f>SUM(Wheatland!N10,Wilton!N10,Gleason!N10)</f>
        <v>9765.6399285647367</v>
      </c>
      <c r="O12" s="174">
        <f>SUM(Wheatland!O10,Wilton!O10,Gleason!O10)</f>
        <v>10058.609126421679</v>
      </c>
      <c r="P12" s="174">
        <f>SUM(Wheatland!P10,Wilton!P10,Gleason!P10)</f>
        <v>10360.367400214333</v>
      </c>
      <c r="Q12" s="174">
        <f>SUM(Wheatland!Q10,Wilton!Q10,Gleason!Q10)</f>
        <v>10671.178422220759</v>
      </c>
      <c r="R12" s="174">
        <f>SUM(Wheatland!R10,Wilton!R10,Gleason!R10)</f>
        <v>10991.313774887383</v>
      </c>
      <c r="S12" s="174">
        <f>SUM(Wheatland!S10,Wilton!S10,Gleason!S10)</f>
        <v>11321.053188134003</v>
      </c>
      <c r="T12" s="174">
        <f>SUM(Wheatland!T10,Wilton!T10,Gleason!T10)</f>
        <v>11660.684783778026</v>
      </c>
      <c r="U12" s="174">
        <f>SUM(Wheatland!U10,Wilton!U10,Gleason!U10)</f>
        <v>12010.505327291365</v>
      </c>
      <c r="W12" s="176">
        <f>SUM(B12:U12)</f>
        <v>184046.57080018858</v>
      </c>
      <c r="X12" s="177">
        <f>SUM(Wheatland!W10,Wilton!W10,Gleason!W10)</f>
        <v>184046.57080018858</v>
      </c>
      <c r="Y12" s="177">
        <f>W12-X12</f>
        <v>0</v>
      </c>
    </row>
    <row r="13" spans="1:45">
      <c r="A13" s="175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W13" s="176"/>
      <c r="X13" s="177"/>
      <c r="Y13" s="177"/>
    </row>
    <row r="14" spans="1:45">
      <c r="A14" s="175" t="s">
        <v>152</v>
      </c>
      <c r="B14" s="179">
        <f>SUM(Wheatland!B12,Wilton!B12,Gleason!B12)</f>
        <v>1266.5793792658519</v>
      </c>
      <c r="C14" s="179">
        <f>SUM(Wheatland!C12,Wilton!C12,Gleason!C12)</f>
        <v>1329.5825778215133</v>
      </c>
      <c r="D14" s="179">
        <f>SUM(Wheatland!D12,Wilton!D12,Gleason!D12)</f>
        <v>1395.944883595145</v>
      </c>
      <c r="E14" s="179">
        <f>SUM(Wheatland!E12,Wilton!E12,Gleason!E12)</f>
        <v>1467.0999009689006</v>
      </c>
      <c r="F14" s="179">
        <f>SUM(Wheatland!F12,Wilton!F12,Gleason!F12)</f>
        <v>1542.2455645126336</v>
      </c>
      <c r="G14" s="179">
        <f>SUM(Wheatland!G12,Wilton!G12,Gleason!G12)</f>
        <v>1566.721240894097</v>
      </c>
      <c r="H14" s="179">
        <f>SUM(Wheatland!H12,Wilton!H12,Gleason!H12)</f>
        <v>1592.2889856987347</v>
      </c>
      <c r="I14" s="179">
        <f>SUM(Wheatland!I12,Wilton!I12,Gleason!I12)</f>
        <v>1619.0893630396345</v>
      </c>
      <c r="J14" s="179">
        <f>SUM(Wheatland!J12,Wilton!J12,Gleason!J12)</f>
        <v>1647.6290822939957</v>
      </c>
      <c r="K14" s="179">
        <f>SUM(Wheatland!K12,Wilton!K12,Gleason!K12)</f>
        <v>1677.641599978514</v>
      </c>
      <c r="L14" s="179">
        <f>SUM(Wheatland!L12,Wilton!L12,Gleason!L12)</f>
        <v>1704.2345272454363</v>
      </c>
      <c r="M14" s="179">
        <f>SUM(Wheatland!M12,Wilton!M12,Gleason!M12)</f>
        <v>1733.2344818281724</v>
      </c>
      <c r="N14" s="179">
        <f>SUM(Wheatland!N12,Wilton!N12,Gleason!N12)</f>
        <v>1758.348173417115</v>
      </c>
      <c r="O14" s="179">
        <f>SUM(Wheatland!O12,Wilton!O12,Gleason!O12)</f>
        <v>1788.306593970985</v>
      </c>
      <c r="P14" s="179">
        <f>SUM(Wheatland!P12,Wilton!P12,Gleason!P12)</f>
        <v>1813.3040563045415</v>
      </c>
      <c r="Q14" s="179">
        <f>SUM(Wheatland!Q12,Wilton!Q12,Gleason!Q12)</f>
        <v>1846.5272586606372</v>
      </c>
      <c r="R14" s="179">
        <f>SUM(Wheatland!R12,Wilton!R12,Gleason!R12)</f>
        <v>1872.8425936932861</v>
      </c>
      <c r="S14" s="179">
        <f>SUM(Wheatland!S12,Wilton!S12,Gleason!S12)</f>
        <v>1899.492207822439</v>
      </c>
      <c r="T14" s="179">
        <f>SUM(Wheatland!T12,Wilton!T12,Gleason!T12)</f>
        <v>1926.4794254357801</v>
      </c>
      <c r="U14" s="179">
        <f>SUM(Wheatland!U12,Wilton!U12,Gleason!U12)</f>
        <v>1953.8075704179366</v>
      </c>
      <c r="W14" s="176">
        <f>SUM(B14:U14)</f>
        <v>33401.399466865354</v>
      </c>
      <c r="X14" s="177">
        <f>SUM(Wheatland!W12,Wilton!W12,Gleason!W12)</f>
        <v>33401.399466865347</v>
      </c>
      <c r="Y14" s="177">
        <f>W14-X14</f>
        <v>0</v>
      </c>
    </row>
    <row r="15" spans="1:45">
      <c r="A15" s="175" t="s">
        <v>53</v>
      </c>
      <c r="B15" s="174">
        <f t="shared" ref="B15:U15" si="2">SUM(B10:B14)</f>
        <v>117392.41429072966</v>
      </c>
      <c r="C15" s="174">
        <f t="shared" si="2"/>
        <v>123077.12346513075</v>
      </c>
      <c r="D15" s="174">
        <f t="shared" si="2"/>
        <v>129040.50230892211</v>
      </c>
      <c r="E15" s="174">
        <f t="shared" si="2"/>
        <v>135297.57877173088</v>
      </c>
      <c r="F15" s="174">
        <f t="shared" si="2"/>
        <v>141861.82051309745</v>
      </c>
      <c r="G15" s="174">
        <f t="shared" si="2"/>
        <v>144494.44020127345</v>
      </c>
      <c r="H15" s="174">
        <f t="shared" si="2"/>
        <v>147179.24964588851</v>
      </c>
      <c r="I15" s="174">
        <f t="shared" si="2"/>
        <v>149917.44052652753</v>
      </c>
      <c r="J15" s="174">
        <f t="shared" si="2"/>
        <v>152710.59331876121</v>
      </c>
      <c r="K15" s="174">
        <f t="shared" si="2"/>
        <v>155559.53840694018</v>
      </c>
      <c r="L15" s="174">
        <f t="shared" si="2"/>
        <v>158367.65746308936</v>
      </c>
      <c r="M15" s="174">
        <f t="shared" si="2"/>
        <v>161231.13283736893</v>
      </c>
      <c r="N15" s="174">
        <f t="shared" si="2"/>
        <v>164144.73386786715</v>
      </c>
      <c r="O15" s="174">
        <f t="shared" si="2"/>
        <v>167118.27670200181</v>
      </c>
      <c r="P15" s="174">
        <f t="shared" si="2"/>
        <v>170143.0638404928</v>
      </c>
      <c r="Q15" s="174">
        <f t="shared" si="2"/>
        <v>172850.90684361724</v>
      </c>
      <c r="R15" s="174">
        <f t="shared" si="2"/>
        <v>175596.57324358451</v>
      </c>
      <c r="S15" s="174">
        <f t="shared" si="2"/>
        <v>178388.1157891528</v>
      </c>
      <c r="T15" s="174">
        <f t="shared" si="2"/>
        <v>181226.36476616393</v>
      </c>
      <c r="U15" s="174">
        <f t="shared" si="2"/>
        <v>184112.16719051072</v>
      </c>
      <c r="W15" s="176">
        <f>SUM(B15:U15)</f>
        <v>3109709.6939928504</v>
      </c>
      <c r="X15" s="177">
        <f>SUM(Wheatland!W13,Wilton!W13,Gleason!W13)</f>
        <v>3109709.6939928508</v>
      </c>
      <c r="Y15" s="177">
        <f>W15-X15</f>
        <v>0</v>
      </c>
    </row>
    <row r="16" spans="1:45">
      <c r="A16" s="175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W16" s="176"/>
      <c r="X16" s="178"/>
      <c r="Y16" s="178"/>
    </row>
    <row r="17" spans="1:25">
      <c r="A17" s="171" t="s">
        <v>54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W17" s="176"/>
      <c r="X17" s="178"/>
      <c r="Y17" s="178"/>
    </row>
    <row r="18" spans="1:25">
      <c r="A18" s="175" t="s">
        <v>41</v>
      </c>
      <c r="B18" s="174">
        <f>SUM(Wheatland!B16,Wilton!B16,Gleason!B16)</f>
        <v>4333.0169485714287</v>
      </c>
      <c r="C18" s="174">
        <f>SUM(Wheatland!C16,Wilton!C16,Gleason!C16)</f>
        <v>4463.0074570285715</v>
      </c>
      <c r="D18" s="174">
        <f>SUM(Wheatland!D16,Wilton!D16,Gleason!D16)</f>
        <v>4596.8976807394292</v>
      </c>
      <c r="E18" s="174">
        <f>SUM(Wheatland!E16,Wilton!E16,Gleason!E16)</f>
        <v>4734.8046111616122</v>
      </c>
      <c r="F18" s="174">
        <f>SUM(Wheatland!F16,Wilton!F16,Gleason!F16)</f>
        <v>4876.8487494964602</v>
      </c>
      <c r="G18" s="174">
        <f>SUM(Wheatland!G16,Wilton!G16,Gleason!G16)</f>
        <v>5023.1542119813539</v>
      </c>
      <c r="H18" s="174">
        <f>SUM(Wheatland!H16,Wilton!H16,Gleason!H16)</f>
        <v>5173.8488383407948</v>
      </c>
      <c r="I18" s="174">
        <f>SUM(Wheatland!I16,Wilton!I16,Gleason!I16)</f>
        <v>5329.064303491019</v>
      </c>
      <c r="J18" s="174">
        <f>SUM(Wheatland!J16,Wilton!J16,Gleason!J16)</f>
        <v>5488.93623259575</v>
      </c>
      <c r="K18" s="174">
        <f>SUM(Wheatland!K16,Wilton!K16,Gleason!K16)</f>
        <v>5653.6043195736229</v>
      </c>
      <c r="L18" s="174">
        <f>SUM(Wheatland!L16,Wilton!L16,Gleason!L16)</f>
        <v>5823.212449160832</v>
      </c>
      <c r="M18" s="174">
        <f>SUM(Wheatland!M16,Wilton!M16,Gleason!M16)</f>
        <v>5997.9088226356562</v>
      </c>
      <c r="N18" s="174">
        <f>SUM(Wheatland!N16,Wilton!N16,Gleason!N16)</f>
        <v>6177.8460873147269</v>
      </c>
      <c r="O18" s="174">
        <f>SUM(Wheatland!O16,Wilton!O16,Gleason!O16)</f>
        <v>6363.1814699341685</v>
      </c>
      <c r="P18" s="174">
        <f>SUM(Wheatland!P16,Wilton!P16,Gleason!P16)</f>
        <v>6554.0769140321936</v>
      </c>
      <c r="Q18" s="174">
        <f>SUM(Wheatland!Q16,Wilton!Q16,Gleason!Q16)</f>
        <v>6750.6992214531601</v>
      </c>
      <c r="R18" s="174">
        <f>SUM(Wheatland!R16,Wilton!R16,Gleason!R16)</f>
        <v>6953.2201980967548</v>
      </c>
      <c r="S18" s="174">
        <f>SUM(Wheatland!S16,Wilton!S16,Gleason!S16)</f>
        <v>7161.8168040396567</v>
      </c>
      <c r="T18" s="174">
        <f>SUM(Wheatland!T16,Wilton!T16,Gleason!T16)</f>
        <v>7376.6713081608477</v>
      </c>
      <c r="U18" s="174">
        <f>SUM(Wheatland!U16,Wilton!U16,Gleason!U16)</f>
        <v>7597.9714474056727</v>
      </c>
      <c r="W18" s="176">
        <f t="shared" ref="W18:W24" si="3">SUM(B18:U18)</f>
        <v>116429.78807521368</v>
      </c>
      <c r="X18" s="177">
        <f>SUM(Wheatland!W16,Wilton!W16,Gleason!W16)</f>
        <v>116429.7880752137</v>
      </c>
      <c r="Y18" s="177">
        <f t="shared" ref="Y18:Y24" si="4">W18-X18</f>
        <v>0</v>
      </c>
    </row>
    <row r="19" spans="1:25">
      <c r="A19" s="175" t="s">
        <v>42</v>
      </c>
      <c r="B19" s="174">
        <f>SUM(Wheatland!B17,Wilton!B17,Gleason!B17)</f>
        <v>6373.0483631044517</v>
      </c>
      <c r="C19" s="174">
        <f>SUM(Wheatland!C17,Wilton!C17,Gleason!C17)</f>
        <v>6564.2398139975858</v>
      </c>
      <c r="D19" s="174">
        <f>SUM(Wheatland!D17,Wilton!D17,Gleason!D17)</f>
        <v>6761.167008417513</v>
      </c>
      <c r="E19" s="174">
        <f>SUM(Wheatland!E17,Wilton!E17,Gleason!E17)</f>
        <v>6964.0020186700367</v>
      </c>
      <c r="F19" s="174">
        <f>SUM(Wheatland!F17,Wilton!F17,Gleason!F17)</f>
        <v>7172.9220792301385</v>
      </c>
      <c r="G19" s="174">
        <f>SUM(Wheatland!G17,Wilton!G17,Gleason!G17)</f>
        <v>7388.1097416070425</v>
      </c>
      <c r="H19" s="174">
        <f>SUM(Wheatland!H17,Wilton!H17,Gleason!H17)</f>
        <v>7609.7530338552551</v>
      </c>
      <c r="I19" s="174">
        <f>SUM(Wheatland!I17,Wilton!I17,Gleason!I17)</f>
        <v>7838.0456248709106</v>
      </c>
      <c r="J19" s="174">
        <f>SUM(Wheatland!J17,Wilton!J17,Gleason!J17)</f>
        <v>8073.1869936170388</v>
      </c>
      <c r="K19" s="174">
        <f>SUM(Wheatland!K17,Wilton!K17,Gleason!K17)</f>
        <v>8315.3826034255508</v>
      </c>
      <c r="L19" s="174">
        <f>SUM(Wheatland!L17,Wilton!L17,Gleason!L17)</f>
        <v>8564.8440815283157</v>
      </c>
      <c r="M19" s="174">
        <f>SUM(Wheatland!M17,Wilton!M17,Gleason!M17)</f>
        <v>8821.7894039741641</v>
      </c>
      <c r="N19" s="174">
        <f>SUM(Wheatland!N17,Wilton!N17,Gleason!N17)</f>
        <v>9086.443086093388</v>
      </c>
      <c r="O19" s="174">
        <f>SUM(Wheatland!O17,Wilton!O17,Gleason!O17)</f>
        <v>9359.0363786761918</v>
      </c>
      <c r="P19" s="174">
        <f>SUM(Wheatland!P17,Wilton!P17,Gleason!P17)</f>
        <v>9639.8074700364796</v>
      </c>
      <c r="Q19" s="174">
        <f>SUM(Wheatland!Q17,Wilton!Q17,Gleason!Q17)</f>
        <v>9929.0016941375707</v>
      </c>
      <c r="R19" s="174">
        <f>SUM(Wheatland!R17,Wilton!R17,Gleason!R17)</f>
        <v>10226.8717449617</v>
      </c>
      <c r="S19" s="174">
        <f>SUM(Wheatland!S17,Wilton!S17,Gleason!S17)</f>
        <v>10533.677897310548</v>
      </c>
      <c r="T19" s="174">
        <f>SUM(Wheatland!T17,Wilton!T17,Gleason!T17)</f>
        <v>10849.688234229865</v>
      </c>
      <c r="U19" s="174">
        <f>SUM(Wheatland!U17,Wilton!U17,Gleason!U17)</f>
        <v>11175.178881256763</v>
      </c>
      <c r="W19" s="176">
        <f t="shared" si="3"/>
        <v>171246.19615300049</v>
      </c>
      <c r="X19" s="177">
        <f>SUM(Wheatland!W17,Wilton!W17,Gleason!W17)</f>
        <v>171246.19615300052</v>
      </c>
      <c r="Y19" s="177">
        <f t="shared" si="4"/>
        <v>0</v>
      </c>
    </row>
    <row r="20" spans="1:25">
      <c r="A20" s="175" t="s">
        <v>217</v>
      </c>
      <c r="B20" s="174">
        <f>SUM(Wheatland!B18,Wilton!B18,Gleason!B18)</f>
        <v>1429.125</v>
      </c>
      <c r="C20" s="174">
        <f>SUM(Wheatland!C18,Wilton!C18,Gleason!C18)</f>
        <v>1471.99875</v>
      </c>
      <c r="D20" s="174">
        <f>SUM(Wheatland!D18,Wilton!D18,Gleason!D18)</f>
        <v>1516.1587125000001</v>
      </c>
      <c r="E20" s="174">
        <f>SUM(Wheatland!E18,Wilton!E18,Gleason!E18)</f>
        <v>1561.6434738750002</v>
      </c>
      <c r="F20" s="174">
        <f>SUM(Wheatland!F18,Wilton!F18,Gleason!F18)</f>
        <v>1608.4927780912501</v>
      </c>
      <c r="G20" s="174">
        <f>SUM(Wheatland!G18,Wilton!G18,Gleason!G18)</f>
        <v>1656.7475614339876</v>
      </c>
      <c r="H20" s="174">
        <f>SUM(Wheatland!H18,Wilton!H18,Gleason!H18)</f>
        <v>1706.4499882770074</v>
      </c>
      <c r="I20" s="174">
        <f>SUM(Wheatland!I18,Wilton!I18,Gleason!I18)</f>
        <v>1757.6434879253177</v>
      </c>
      <c r="J20" s="174">
        <f>SUM(Wheatland!J18,Wilton!J18,Gleason!J18)</f>
        <v>1810.3727925630774</v>
      </c>
      <c r="K20" s="174">
        <f>SUM(Wheatland!K18,Wilton!K18,Gleason!K18)</f>
        <v>1864.6839763399698</v>
      </c>
      <c r="L20" s="174">
        <f>SUM(Wheatland!L18,Wilton!L18,Gleason!L18)</f>
        <v>1920.6244956301687</v>
      </c>
      <c r="M20" s="174">
        <f>SUM(Wheatland!M18,Wilton!M18,Gleason!M18)</f>
        <v>1978.2432304990739</v>
      </c>
      <c r="N20" s="174">
        <f>SUM(Wheatland!N18,Wilton!N18,Gleason!N18)</f>
        <v>2037.5905274140459</v>
      </c>
      <c r="O20" s="174">
        <f>SUM(Wheatland!O18,Wilton!O18,Gleason!O18)</f>
        <v>2098.7182432364675</v>
      </c>
      <c r="P20" s="174">
        <f>SUM(Wheatland!P18,Wilton!P18,Gleason!P18)</f>
        <v>2161.6797905335616</v>
      </c>
      <c r="Q20" s="174">
        <f>SUM(Wheatland!Q18,Wilton!Q18,Gleason!Q18)</f>
        <v>2226.5301842495687</v>
      </c>
      <c r="R20" s="174">
        <f>SUM(Wheatland!R18,Wilton!R18,Gleason!R18)</f>
        <v>2293.3260897770556</v>
      </c>
      <c r="S20" s="174">
        <f>SUM(Wheatland!S18,Wilton!S18,Gleason!S18)</f>
        <v>2362.1258724703671</v>
      </c>
      <c r="T20" s="174">
        <f>SUM(Wheatland!T18,Wilton!T18,Gleason!T18)</f>
        <v>2432.9896486444786</v>
      </c>
      <c r="U20" s="174">
        <f>SUM(Wheatland!U18,Wilton!U18,Gleason!U18)</f>
        <v>2505.9793381038126</v>
      </c>
      <c r="W20" s="176">
        <f t="shared" si="3"/>
        <v>38401.123941564205</v>
      </c>
      <c r="X20" s="177">
        <f>SUM(Wheatland!W18,Wilton!W18,Gleason!W18)</f>
        <v>38401.123941564205</v>
      </c>
      <c r="Y20" s="177">
        <f t="shared" si="4"/>
        <v>0</v>
      </c>
    </row>
    <row r="21" spans="1:25">
      <c r="A21" s="175" t="s">
        <v>99</v>
      </c>
      <c r="B21" s="174">
        <f>SUM(Wheatland!B19,Wilton!B19,Gleason!B19)</f>
        <v>1060.04098</v>
      </c>
      <c r="C21" s="174">
        <f>SUM(Wheatland!C19,Wilton!C19,Gleason!C19)</f>
        <v>1091.8422094</v>
      </c>
      <c r="D21" s="174">
        <f>SUM(Wheatland!D19,Wilton!D19,Gleason!D19)</f>
        <v>1124.5974756820001</v>
      </c>
      <c r="E21" s="174">
        <f>SUM(Wheatland!E19,Wilton!E19,Gleason!E19)</f>
        <v>1158.33539995246</v>
      </c>
      <c r="F21" s="174">
        <f>SUM(Wheatland!F19,Wilton!F19,Gleason!F19)</f>
        <v>1193.0854619510339</v>
      </c>
      <c r="G21" s="174">
        <f>SUM(Wheatland!G19,Wilton!G19,Gleason!G19)</f>
        <v>1228.8780258095649</v>
      </c>
      <c r="H21" s="174">
        <f>SUM(Wheatland!H19,Wilton!H19,Gleason!H19)</f>
        <v>1265.7443665838518</v>
      </c>
      <c r="I21" s="174">
        <f>SUM(Wheatland!I19,Wilton!I19,Gleason!I19)</f>
        <v>1303.7166975813675</v>
      </c>
      <c r="J21" s="174">
        <f>SUM(Wheatland!J19,Wilton!J19,Gleason!J19)</f>
        <v>1342.8281985088083</v>
      </c>
      <c r="K21" s="174">
        <f>SUM(Wheatland!K19,Wilton!K19,Gleason!K19)</f>
        <v>1383.1130444640728</v>
      </c>
      <c r="L21" s="174">
        <f>SUM(Wheatland!L19,Wilton!L19,Gleason!L19)</f>
        <v>1424.6064357979949</v>
      </c>
      <c r="M21" s="174">
        <f>SUM(Wheatland!M19,Wilton!M19,Gleason!M19)</f>
        <v>1467.3446288719349</v>
      </c>
      <c r="N21" s="174">
        <f>SUM(Wheatland!N19,Wilton!N19,Gleason!N19)</f>
        <v>1511.3649677380929</v>
      </c>
      <c r="O21" s="174">
        <f>SUM(Wheatland!O19,Wilton!O19,Gleason!O19)</f>
        <v>1556.7059167702359</v>
      </c>
      <c r="P21" s="174">
        <f>SUM(Wheatland!P19,Wilton!P19,Gleason!P19)</f>
        <v>1603.4070942733431</v>
      </c>
      <c r="Q21" s="174">
        <f>SUM(Wheatland!Q19,Wilton!Q19,Gleason!Q19)</f>
        <v>1651.5093071015431</v>
      </c>
      <c r="R21" s="174">
        <f>SUM(Wheatland!R19,Wilton!R19,Gleason!R19)</f>
        <v>1701.0545863145896</v>
      </c>
      <c r="S21" s="174">
        <f>SUM(Wheatland!S19,Wilton!S19,Gleason!S19)</f>
        <v>1752.0862239040271</v>
      </c>
      <c r="T21" s="174">
        <f>SUM(Wheatland!T19,Wilton!T19,Gleason!T19)</f>
        <v>1804.6488106211482</v>
      </c>
      <c r="U21" s="174">
        <f>SUM(Wheatland!U19,Wilton!U19,Gleason!U19)</f>
        <v>1858.7882749397825</v>
      </c>
      <c r="W21" s="176">
        <f t="shared" si="3"/>
        <v>28483.698106265852</v>
      </c>
      <c r="X21" s="177">
        <f>SUM(Wheatland!W19,Wilton!W19,Gleason!W19)</f>
        <v>28483.698106265852</v>
      </c>
      <c r="Y21" s="177">
        <f t="shared" si="4"/>
        <v>0</v>
      </c>
    </row>
    <row r="22" spans="1:25" ht="14.25" customHeight="1">
      <c r="A22" s="175" t="s">
        <v>175</v>
      </c>
      <c r="B22" s="174">
        <f>SUM(Wheatland!B20,Wilton!B20,Gleason!B20)</f>
        <v>746.46</v>
      </c>
      <c r="C22" s="174">
        <f>SUM(Wheatland!C20,Wilton!C20,Gleason!C20)</f>
        <v>1050.307</v>
      </c>
      <c r="D22" s="174">
        <f>SUM(Wheatland!D20,Wilton!D20,Gleason!D20)</f>
        <v>1248.0929999999998</v>
      </c>
      <c r="E22" s="174">
        <f>SUM(Wheatland!E20,Wilton!E20,Gleason!E20)</f>
        <v>1339.135</v>
      </c>
      <c r="F22" s="174">
        <f>SUM(Wheatland!F20,Wilton!F20,Gleason!F20)</f>
        <v>1401.501</v>
      </c>
      <c r="G22" s="174">
        <f>SUM(Wheatland!G20,Wilton!G20,Gleason!G20)</f>
        <v>1623.5369999999998</v>
      </c>
      <c r="H22" s="174">
        <f>SUM(Wheatland!H20,Wilton!H20,Gleason!H20)</f>
        <v>1795.9389999999999</v>
      </c>
      <c r="I22" s="174">
        <f>SUM(Wheatland!I20,Wilton!I20,Gleason!I20)</f>
        <v>1908.1120000000001</v>
      </c>
      <c r="J22" s="174">
        <f>SUM(Wheatland!J20,Wilton!J20,Gleason!J20)</f>
        <v>1920.1799999999998</v>
      </c>
      <c r="K22" s="174">
        <f>SUM(Wheatland!K20,Wilton!K20,Gleason!K20)</f>
        <v>1854.1379999999999</v>
      </c>
      <c r="L22" s="174">
        <f>SUM(Wheatland!L20,Wilton!L20,Gleason!L20)</f>
        <v>2009.2130000000002</v>
      </c>
      <c r="M22" s="174">
        <f>SUM(Wheatland!M20,Wilton!M20,Gleason!M20)</f>
        <v>2009.1799999999998</v>
      </c>
      <c r="N22" s="174">
        <f>SUM(Wheatland!N20,Wilton!N20,Gleason!N20)</f>
        <v>2358.1</v>
      </c>
      <c r="O22" s="174">
        <f>SUM(Wheatland!O20,Wilton!O20,Gleason!O20)</f>
        <v>2358.1</v>
      </c>
      <c r="P22" s="174">
        <f>SUM(Wheatland!P20,Wilton!P20,Gleason!P20)</f>
        <v>2794.25</v>
      </c>
      <c r="Q22" s="174">
        <f>SUM(Wheatland!Q20,Wilton!Q20,Gleason!Q20)</f>
        <v>2229.731045</v>
      </c>
      <c r="R22" s="174">
        <f>SUM(Wheatland!R20,Wilton!R20,Gleason!R20)</f>
        <v>2244.6096659</v>
      </c>
      <c r="S22" s="174">
        <f>SUM(Wheatland!S20,Wilton!S20,Gleason!S20)</f>
        <v>2259.785859218</v>
      </c>
      <c r="T22" s="174">
        <f>SUM(Wheatland!T20,Wilton!T20,Gleason!T20)</f>
        <v>2275.2655764023598</v>
      </c>
      <c r="U22" s="174">
        <f>SUM(Wheatland!U20,Wilton!U20,Gleason!U20)</f>
        <v>2291.0548879304069</v>
      </c>
      <c r="W22" s="176">
        <f t="shared" si="3"/>
        <v>37716.69203445076</v>
      </c>
      <c r="X22" s="177">
        <f>SUM(Wheatland!W20,Wilton!W20,Gleason!W20)</f>
        <v>37716.69203445076</v>
      </c>
      <c r="Y22" s="177">
        <f t="shared" si="4"/>
        <v>0</v>
      </c>
    </row>
    <row r="23" spans="1:25">
      <c r="A23" s="175" t="s">
        <v>199</v>
      </c>
      <c r="B23" s="179">
        <f>SUM(Wheatland!B21,Wilton!B21,Gleason!B21)</f>
        <v>857.79327851978405</v>
      </c>
      <c r="C23" s="179">
        <f>SUM(Wheatland!C21,Wilton!C21,Gleason!C21)</f>
        <v>739.53943116202504</v>
      </c>
      <c r="D23" s="179">
        <f>SUM(Wheatland!D21,Wilton!D21,Gleason!D21)</f>
        <v>722.05286037643714</v>
      </c>
      <c r="E23" s="179">
        <f>SUM(Wheatland!E21,Wilton!E21,Gleason!E21)</f>
        <v>704.56628959084924</v>
      </c>
      <c r="F23" s="179">
        <f>SUM(Wheatland!F21,Wilton!F21,Gleason!F21)</f>
        <v>687.07971880526134</v>
      </c>
      <c r="G23" s="179">
        <f>SUM(Wheatland!G21,Wilton!G21,Gleason!G21)</f>
        <v>669.59314801967344</v>
      </c>
      <c r="H23" s="179">
        <f>SUM(Wheatland!H21,Wilton!H21,Gleason!H21)</f>
        <v>652.10657723408553</v>
      </c>
      <c r="I23" s="179">
        <f>SUM(Wheatland!I21,Wilton!I21,Gleason!I21)</f>
        <v>634.62000644849763</v>
      </c>
      <c r="J23" s="179">
        <f>SUM(Wheatland!J21,Wilton!J21,Gleason!J21)</f>
        <v>617.13343566290973</v>
      </c>
      <c r="K23" s="179">
        <f>SUM(Wheatland!K21,Wilton!K21,Gleason!K21)</f>
        <v>599.64686487732183</v>
      </c>
      <c r="L23" s="179">
        <f>SUM(Wheatland!L21,Wilton!L21,Gleason!L21)</f>
        <v>582.16029409173393</v>
      </c>
      <c r="M23" s="179">
        <f>SUM(Wheatland!M21,Wilton!M21,Gleason!M21)</f>
        <v>564.67372330614603</v>
      </c>
      <c r="N23" s="179">
        <f>SUM(Wheatland!N21,Wilton!N21,Gleason!N21)</f>
        <v>547.18715252055813</v>
      </c>
      <c r="O23" s="179">
        <f>SUM(Wheatland!O21,Wilton!O21,Gleason!O21)</f>
        <v>529.70058173497023</v>
      </c>
      <c r="P23" s="179">
        <f>SUM(Wheatland!P21,Wilton!P21,Gleason!P21)</f>
        <v>512.21401094938221</v>
      </c>
      <c r="Q23" s="179">
        <f>SUM(Wheatland!Q21,Wilton!Q21,Gleason!Q21)</f>
        <v>494.72744016379431</v>
      </c>
      <c r="R23" s="179">
        <f>SUM(Wheatland!R21,Wilton!R21,Gleason!R21)</f>
        <v>477.24086937820641</v>
      </c>
      <c r="S23" s="179">
        <f>SUM(Wheatland!S21,Wilton!S21,Gleason!S21)</f>
        <v>459.7542985926184</v>
      </c>
      <c r="T23" s="179">
        <f>SUM(Wheatland!T21,Wilton!T21,Gleason!T21)</f>
        <v>442.2677278070305</v>
      </c>
      <c r="U23" s="179">
        <f>SUM(Wheatland!U21,Wilton!U21,Gleason!U21)</f>
        <v>424.78115702144254</v>
      </c>
      <c r="V23" s="172"/>
      <c r="W23" s="176">
        <f t="shared" si="3"/>
        <v>11918.838866262728</v>
      </c>
      <c r="X23" s="177">
        <f>SUM(Wheatland!W21,Wilton!W21,Gleason!W21)</f>
        <v>11918.838866262731</v>
      </c>
      <c r="Y23" s="177">
        <f t="shared" si="4"/>
        <v>0</v>
      </c>
    </row>
    <row r="24" spans="1:25">
      <c r="A24" s="175" t="s">
        <v>55</v>
      </c>
      <c r="B24" s="174">
        <f t="shared" ref="B24:U24" si="5">SUM(B18:B23)</f>
        <v>14799.484570195666</v>
      </c>
      <c r="C24" s="174">
        <f t="shared" si="5"/>
        <v>15380.934661588184</v>
      </c>
      <c r="D24" s="174">
        <f t="shared" si="5"/>
        <v>15968.96673771538</v>
      </c>
      <c r="E24" s="174">
        <f t="shared" si="5"/>
        <v>16462.486793249958</v>
      </c>
      <c r="F24" s="174">
        <f t="shared" si="5"/>
        <v>16939.929787574143</v>
      </c>
      <c r="G24" s="174">
        <f t="shared" si="5"/>
        <v>17590.019688851622</v>
      </c>
      <c r="H24" s="174">
        <f t="shared" si="5"/>
        <v>18203.841804290991</v>
      </c>
      <c r="I24" s="174">
        <f t="shared" si="5"/>
        <v>18771.202120317113</v>
      </c>
      <c r="J24" s="174">
        <f t="shared" si="5"/>
        <v>19252.637652947582</v>
      </c>
      <c r="K24" s="174">
        <f t="shared" si="5"/>
        <v>19670.568808680538</v>
      </c>
      <c r="L24" s="174">
        <f t="shared" si="5"/>
        <v>20324.660756209043</v>
      </c>
      <c r="M24" s="174">
        <f t="shared" si="5"/>
        <v>20839.139809286975</v>
      </c>
      <c r="N24" s="174">
        <f t="shared" si="5"/>
        <v>21718.531821080807</v>
      </c>
      <c r="O24" s="174">
        <f t="shared" si="5"/>
        <v>22265.442590352031</v>
      </c>
      <c r="P24" s="174">
        <f t="shared" si="5"/>
        <v>23265.435279824957</v>
      </c>
      <c r="Q24" s="174">
        <f t="shared" si="5"/>
        <v>23282.198892105636</v>
      </c>
      <c r="R24" s="174">
        <f t="shared" si="5"/>
        <v>23896.323154428304</v>
      </c>
      <c r="S24" s="174">
        <f t="shared" si="5"/>
        <v>24529.246955535215</v>
      </c>
      <c r="T24" s="174">
        <f t="shared" si="5"/>
        <v>25181.531305865727</v>
      </c>
      <c r="U24" s="174">
        <f t="shared" si="5"/>
        <v>25853.753986657881</v>
      </c>
      <c r="W24" s="176">
        <f t="shared" si="3"/>
        <v>404196.33717675775</v>
      </c>
      <c r="X24" s="177">
        <f>SUM(Wheatland!W22,Wilton!W22,Gleason!W22)</f>
        <v>404196.33717675775</v>
      </c>
      <c r="Y24" s="177">
        <f t="shared" si="4"/>
        <v>0</v>
      </c>
    </row>
    <row r="25" spans="1:25">
      <c r="A25" s="181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W25" s="176"/>
      <c r="X25" s="178"/>
      <c r="Y25" s="178"/>
    </row>
    <row r="26" spans="1:2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W26" s="176"/>
      <c r="X26" s="178"/>
      <c r="Y26" s="178"/>
    </row>
    <row r="27" spans="1:25">
      <c r="A27" s="171" t="s">
        <v>56</v>
      </c>
      <c r="B27" s="185">
        <f t="shared" ref="B27:U27" si="6">B15-B24</f>
        <v>102592.929720534</v>
      </c>
      <c r="C27" s="185">
        <f t="shared" si="6"/>
        <v>107696.18880354257</v>
      </c>
      <c r="D27" s="185">
        <f t="shared" si="6"/>
        <v>113071.53557120672</v>
      </c>
      <c r="E27" s="185">
        <f t="shared" si="6"/>
        <v>118835.09197848092</v>
      </c>
      <c r="F27" s="185">
        <f t="shared" si="6"/>
        <v>124921.89072552331</v>
      </c>
      <c r="G27" s="185">
        <f t="shared" si="6"/>
        <v>126904.42051242183</v>
      </c>
      <c r="H27" s="185">
        <f t="shared" si="6"/>
        <v>128975.40784159752</v>
      </c>
      <c r="I27" s="185">
        <f t="shared" si="6"/>
        <v>131146.23840621041</v>
      </c>
      <c r="J27" s="185">
        <f t="shared" si="6"/>
        <v>133457.95566581364</v>
      </c>
      <c r="K27" s="185">
        <f t="shared" si="6"/>
        <v>135888.96959825963</v>
      </c>
      <c r="L27" s="185">
        <f t="shared" si="6"/>
        <v>138042.99670688031</v>
      </c>
      <c r="M27" s="185">
        <f t="shared" si="6"/>
        <v>140391.99302808195</v>
      </c>
      <c r="N27" s="185">
        <f t="shared" si="6"/>
        <v>142426.20204678635</v>
      </c>
      <c r="O27" s="185">
        <f t="shared" si="6"/>
        <v>144852.83411164978</v>
      </c>
      <c r="P27" s="185">
        <f t="shared" si="6"/>
        <v>146877.62856066786</v>
      </c>
      <c r="Q27" s="185">
        <f t="shared" si="6"/>
        <v>149568.70795151161</v>
      </c>
      <c r="R27" s="185">
        <f t="shared" si="6"/>
        <v>151700.25008915621</v>
      </c>
      <c r="S27" s="185">
        <f t="shared" si="6"/>
        <v>153858.8688336176</v>
      </c>
      <c r="T27" s="185">
        <f t="shared" si="6"/>
        <v>156044.83346029819</v>
      </c>
      <c r="U27" s="185">
        <f t="shared" si="6"/>
        <v>158258.41320385283</v>
      </c>
      <c r="W27" s="176">
        <f>SUM(B27:U27)</f>
        <v>2705513.3568160934</v>
      </c>
      <c r="X27" s="177">
        <f>SUM(Wheatland!W25,Wilton!W25,Gleason!W25)</f>
        <v>2705513.3568160934</v>
      </c>
      <c r="Y27" s="177">
        <f>W27-X27</f>
        <v>0</v>
      </c>
    </row>
    <row r="28" spans="1:25">
      <c r="A28" s="171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W28" s="176"/>
      <c r="X28" s="178"/>
      <c r="Y28" s="178"/>
    </row>
    <row r="29" spans="1:25">
      <c r="A29" s="175" t="s">
        <v>57</v>
      </c>
      <c r="B29" s="174">
        <f>Depreciation!C34</f>
        <v>23697.654357107422</v>
      </c>
      <c r="C29" s="174">
        <f>Depreciation!D34</f>
        <v>23697.654357107422</v>
      </c>
      <c r="D29" s="174">
        <f>Depreciation!E34</f>
        <v>23697.654357107422</v>
      </c>
      <c r="E29" s="174">
        <f>Depreciation!F34</f>
        <v>23697.654357107422</v>
      </c>
      <c r="F29" s="174">
        <f>Depreciation!G34</f>
        <v>23697.654357107422</v>
      </c>
      <c r="G29" s="174">
        <f>Depreciation!H34</f>
        <v>23697.654357107422</v>
      </c>
      <c r="H29" s="174">
        <f>Depreciation!I34</f>
        <v>23697.654357107422</v>
      </c>
      <c r="I29" s="174">
        <f>Depreciation!J34</f>
        <v>23697.654357107422</v>
      </c>
      <c r="J29" s="174">
        <f>Depreciation!K34</f>
        <v>23697.654357107422</v>
      </c>
      <c r="K29" s="174">
        <f>Depreciation!L34</f>
        <v>23697.654357107422</v>
      </c>
      <c r="L29" s="174">
        <f>Depreciation!M34</f>
        <v>23697.654357107422</v>
      </c>
      <c r="M29" s="174">
        <f>Depreciation!N34</f>
        <v>23697.654357107422</v>
      </c>
      <c r="N29" s="174">
        <f>Depreciation!O34</f>
        <v>23697.654357107422</v>
      </c>
      <c r="O29" s="174">
        <f>Depreciation!P34</f>
        <v>23697.654357107422</v>
      </c>
      <c r="P29" s="174">
        <f>Depreciation!Q34</f>
        <v>23697.654357107422</v>
      </c>
      <c r="Q29" s="174">
        <f>Depreciation!R34</f>
        <v>23697.654357107422</v>
      </c>
      <c r="R29" s="174">
        <f>Depreciation!S34</f>
        <v>23697.654357107422</v>
      </c>
      <c r="S29" s="174">
        <f>Depreciation!T34</f>
        <v>23697.654357107422</v>
      </c>
      <c r="T29" s="174">
        <f>Depreciation!U34</f>
        <v>23697.654357107422</v>
      </c>
      <c r="U29" s="174">
        <f>Depreciation!V34</f>
        <v>23697.654357107422</v>
      </c>
      <c r="W29" s="176">
        <f>SUM(B29:U29)</f>
        <v>473953.08714214835</v>
      </c>
      <c r="X29" s="177">
        <f>SUM(Wheatland!W27,Wilton!W27,Gleason!W27)</f>
        <v>473953.08714214835</v>
      </c>
      <c r="Y29" s="177">
        <f>W29-X29</f>
        <v>0</v>
      </c>
    </row>
    <row r="30" spans="1:25">
      <c r="A30" s="175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W30" s="176"/>
      <c r="X30" s="178"/>
      <c r="Y30" s="178"/>
    </row>
    <row r="31" spans="1:25">
      <c r="A31" s="171" t="s">
        <v>58</v>
      </c>
      <c r="B31" s="185">
        <f t="shared" ref="B31:U31" si="7">B27-B29</f>
        <v>78895.275363426568</v>
      </c>
      <c r="C31" s="185">
        <f t="shared" si="7"/>
        <v>83998.534446435136</v>
      </c>
      <c r="D31" s="185">
        <f t="shared" si="7"/>
        <v>89373.881214099296</v>
      </c>
      <c r="E31" s="185">
        <f t="shared" si="7"/>
        <v>95137.437621373509</v>
      </c>
      <c r="F31" s="185">
        <f t="shared" si="7"/>
        <v>101224.23636841588</v>
      </c>
      <c r="G31" s="185">
        <f t="shared" si="7"/>
        <v>103206.7661553144</v>
      </c>
      <c r="H31" s="185">
        <f t="shared" si="7"/>
        <v>105277.75348449009</v>
      </c>
      <c r="I31" s="185">
        <f t="shared" si="7"/>
        <v>107448.584049103</v>
      </c>
      <c r="J31" s="185">
        <f t="shared" si="7"/>
        <v>109760.30130870623</v>
      </c>
      <c r="K31" s="185">
        <f t="shared" si="7"/>
        <v>112191.31524115222</v>
      </c>
      <c r="L31" s="185">
        <f t="shared" si="7"/>
        <v>114345.34234977289</v>
      </c>
      <c r="M31" s="185">
        <f t="shared" si="7"/>
        <v>116694.33867097454</v>
      </c>
      <c r="N31" s="185">
        <f t="shared" si="7"/>
        <v>118728.54768967893</v>
      </c>
      <c r="O31" s="185">
        <f t="shared" si="7"/>
        <v>121155.17975454236</v>
      </c>
      <c r="P31" s="185">
        <f t="shared" si="7"/>
        <v>123179.97420356044</v>
      </c>
      <c r="Q31" s="185">
        <f t="shared" si="7"/>
        <v>125871.05359440419</v>
      </c>
      <c r="R31" s="185">
        <f t="shared" si="7"/>
        <v>128002.59573204879</v>
      </c>
      <c r="S31" s="185">
        <f t="shared" si="7"/>
        <v>130161.21447651018</v>
      </c>
      <c r="T31" s="185">
        <f t="shared" si="7"/>
        <v>132347.17910319078</v>
      </c>
      <c r="U31" s="185">
        <f t="shared" si="7"/>
        <v>134560.75884674542</v>
      </c>
      <c r="W31" s="176">
        <f>SUM(B31:U31)</f>
        <v>2231560.2696739449</v>
      </c>
      <c r="X31" s="177">
        <f>SUM(Wheatland!W29,Wilton!W29,Gleason!W29)</f>
        <v>2231560.2696739445</v>
      </c>
      <c r="Y31" s="177">
        <f>W31-X31</f>
        <v>0</v>
      </c>
    </row>
    <row r="32" spans="1:25">
      <c r="A32" s="171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W32" s="176"/>
      <c r="X32" s="178"/>
      <c r="Y32" s="178"/>
    </row>
    <row r="33" spans="1:25">
      <c r="A33" s="175" t="s">
        <v>59</v>
      </c>
      <c r="B33" s="174">
        <f>Debt!B91</f>
        <v>38555.057913034907</v>
      </c>
      <c r="C33" s="174">
        <f>Debt!C91</f>
        <v>37876.115679813825</v>
      </c>
      <c r="D33" s="174">
        <f>Debt!D91</f>
        <v>36983.926459920607</v>
      </c>
      <c r="E33" s="174">
        <f>Debt!E91</f>
        <v>36061.256712553048</v>
      </c>
      <c r="F33" s="174">
        <f>Debt!F91</f>
        <v>34779.774294784394</v>
      </c>
      <c r="G33" s="174">
        <f>Debt!G91</f>
        <v>33456.390554803562</v>
      </c>
      <c r="H33" s="174">
        <f>Debt!H91</f>
        <v>32098.832858442165</v>
      </c>
      <c r="I33" s="174">
        <f>Debt!I91</f>
        <v>30776.061177494867</v>
      </c>
      <c r="J33" s="174">
        <f>Debt!J91</f>
        <v>29217.894872438057</v>
      </c>
      <c r="K33" s="174">
        <f>Debt!K91</f>
        <v>27659.129845316907</v>
      </c>
      <c r="L33" s="174">
        <f>Debt!L91</f>
        <v>25992.596356468173</v>
      </c>
      <c r="M33" s="174">
        <f>Debt!M91</f>
        <v>24255.439421765914</v>
      </c>
      <c r="N33" s="174">
        <f>Debt!N91</f>
        <v>22246.923246433947</v>
      </c>
      <c r="O33" s="174">
        <f>Debt!O91</f>
        <v>20151.266724490073</v>
      </c>
      <c r="P33" s="174">
        <f>Debt!P91</f>
        <v>17877.113741930181</v>
      </c>
      <c r="Q33" s="174">
        <f>Debt!Q91</f>
        <v>15445.963263737161</v>
      </c>
      <c r="R33" s="174">
        <f>Debt!R91</f>
        <v>12690.097286132783</v>
      </c>
      <c r="S33" s="174">
        <f>Debt!S91</f>
        <v>9721.7334524845937</v>
      </c>
      <c r="T33" s="174">
        <f>Debt!T91</f>
        <v>6463.7855143600227</v>
      </c>
      <c r="U33" s="174">
        <f>Debt!U91</f>
        <v>2889.7854063791874</v>
      </c>
      <c r="W33" s="176">
        <f>SUM(B33:U33)</f>
        <v>495199.14478278439</v>
      </c>
      <c r="X33" s="177">
        <f>SUM(Wheatland!W31,Wilton!W31,Gleason!W31)</f>
        <v>495199.14478278434</v>
      </c>
      <c r="Y33" s="177">
        <f>W33-X33</f>
        <v>0</v>
      </c>
    </row>
    <row r="34" spans="1:25">
      <c r="A34" s="6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W34" s="176"/>
      <c r="X34" s="178"/>
      <c r="Y34" s="178"/>
    </row>
    <row r="35" spans="1:25">
      <c r="A35" s="171" t="s">
        <v>60</v>
      </c>
      <c r="B35" s="185">
        <f t="shared" ref="B35:U35" si="8">B31-B33</f>
        <v>40340.217450391661</v>
      </c>
      <c r="C35" s="185">
        <f t="shared" si="8"/>
        <v>46122.418766621311</v>
      </c>
      <c r="D35" s="185">
        <f t="shared" si="8"/>
        <v>52389.954754178689</v>
      </c>
      <c r="E35" s="185">
        <f t="shared" si="8"/>
        <v>59076.180908820461</v>
      </c>
      <c r="F35" s="185">
        <f t="shared" si="8"/>
        <v>66444.462073631483</v>
      </c>
      <c r="G35" s="185">
        <f t="shared" si="8"/>
        <v>69750.37560051083</v>
      </c>
      <c r="H35" s="185">
        <f t="shared" si="8"/>
        <v>73178.920626047926</v>
      </c>
      <c r="I35" s="185">
        <f t="shared" si="8"/>
        <v>76672.522871608133</v>
      </c>
      <c r="J35" s="185">
        <f t="shared" si="8"/>
        <v>80542.406436268167</v>
      </c>
      <c r="K35" s="185">
        <f t="shared" si="8"/>
        <v>84532.185395835317</v>
      </c>
      <c r="L35" s="185">
        <f t="shared" si="8"/>
        <v>88352.745993304721</v>
      </c>
      <c r="M35" s="185">
        <f t="shared" si="8"/>
        <v>92438.899249208625</v>
      </c>
      <c r="N35" s="185">
        <f t="shared" si="8"/>
        <v>96481.624443244989</v>
      </c>
      <c r="O35" s="185">
        <f t="shared" si="8"/>
        <v>101003.9130300523</v>
      </c>
      <c r="P35" s="185">
        <f t="shared" si="8"/>
        <v>105302.86046163026</v>
      </c>
      <c r="Q35" s="185">
        <f t="shared" si="8"/>
        <v>110425.09033066704</v>
      </c>
      <c r="R35" s="185">
        <f t="shared" si="8"/>
        <v>115312.49844591602</v>
      </c>
      <c r="S35" s="185">
        <f t="shared" si="8"/>
        <v>120439.48102402559</v>
      </c>
      <c r="T35" s="185">
        <f t="shared" si="8"/>
        <v>125883.39358883076</v>
      </c>
      <c r="U35" s="185">
        <f t="shared" si="8"/>
        <v>131670.97344036624</v>
      </c>
      <c r="W35" s="176">
        <f>SUM(B35:U35)</f>
        <v>1736361.1248911605</v>
      </c>
      <c r="X35" s="177">
        <f>SUM(Wheatland!W33,Wilton!W33,Gleason!W33)</f>
        <v>1736361.1248911603</v>
      </c>
      <c r="Y35" s="177">
        <f>W35-X35</f>
        <v>0</v>
      </c>
    </row>
    <row r="36" spans="1:25">
      <c r="A36" s="171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W36" s="176"/>
      <c r="X36" s="178"/>
      <c r="Y36" s="178"/>
    </row>
    <row r="37" spans="1:25">
      <c r="A37" s="175" t="s">
        <v>61</v>
      </c>
      <c r="B37" s="174">
        <f>Wheatland!B35+Wilton!B35+Gleason!B35</f>
        <v>-2398.3862163365898</v>
      </c>
      <c r="C37" s="174">
        <f>Wheatland!C35+Wilton!C35+Gleason!C35</f>
        <v>-2745.8825552532753</v>
      </c>
      <c r="D37" s="174">
        <f>Wheatland!D35+Wilton!D35+Gleason!D35</f>
        <v>-3120.8094505588856</v>
      </c>
      <c r="E37" s="174">
        <f>Wheatland!E35+Wilton!E35+Gleason!E35</f>
        <v>-3520.2654667155657</v>
      </c>
      <c r="F37" s="174">
        <f>Wheatland!F35+Wilton!F35+Gleason!F35</f>
        <v>-3959.9236110587435</v>
      </c>
      <c r="G37" s="174">
        <f>Wheatland!G35+Wilton!G35+Gleason!G35</f>
        <v>-4160.2262863607675</v>
      </c>
      <c r="H37" s="174">
        <f>Wheatland!H35+Wilton!H35+Gleason!H35</f>
        <v>-4368.7997672350366</v>
      </c>
      <c r="I37" s="174">
        <f>Wheatland!I35+Wilton!I35+Gleason!I35</f>
        <v>-4580.3605054683721</v>
      </c>
      <c r="J37" s="174">
        <f>Wheatland!J35+Wilton!J35+Gleason!J35</f>
        <v>-4813.0036452524209</v>
      </c>
      <c r="K37" s="174">
        <f>Wheatland!K35+Wilton!K35+Gleason!K35</f>
        <v>-5051.6564540447689</v>
      </c>
      <c r="L37" s="174">
        <f>Wheatland!L35+Wilton!L35+Gleason!L35</f>
        <v>-5288.2504923540982</v>
      </c>
      <c r="M37" s="174">
        <f>Wheatland!M35+Wilton!M35+Gleason!M35</f>
        <v>-5538.588088745998</v>
      </c>
      <c r="N37" s="174">
        <f>Wheatland!N35+Wilton!N35+Gleason!N35</f>
        <v>-5786.5083600055805</v>
      </c>
      <c r="O37" s="174">
        <f>Wheatland!O35+Wilton!O35+Gleason!O35</f>
        <v>-6063.3757016950767</v>
      </c>
      <c r="P37" s="174">
        <f>Wheatland!P35+Wilton!P35+Gleason!P35</f>
        <v>-6327.0291415311449</v>
      </c>
      <c r="Q37" s="174">
        <f>Wheatland!Q35+Wilton!Q35+Gleason!Q35</f>
        <v>-6635.4294976462561</v>
      </c>
      <c r="R37" s="174">
        <f>Wheatland!R35+Wilton!R35+Gleason!R35</f>
        <v>-6929.792474292547</v>
      </c>
      <c r="S37" s="174">
        <f>Wheatland!S35+Wilton!S35+Gleason!S35</f>
        <v>-7238.5709717904056</v>
      </c>
      <c r="T37" s="174">
        <f>Wheatland!T35+Wilton!T35+Gleason!T35</f>
        <v>-7566.4145571582849</v>
      </c>
      <c r="U37" s="174">
        <f>Wheatland!U35+Wilton!U35+Gleason!U35</f>
        <v>-7914.9306086244105</v>
      </c>
      <c r="W37" s="176">
        <f>SUM(B37:U37)</f>
        <v>-104008.20385212827</v>
      </c>
      <c r="X37" s="177">
        <f>SUM(Wheatland!W35,Wilton!W35,Gleason!W35)</f>
        <v>-104008.20385212824</v>
      </c>
      <c r="Y37" s="177">
        <f>W37-X37</f>
        <v>0</v>
      </c>
    </row>
    <row r="38" spans="1:25">
      <c r="A38" s="175" t="s">
        <v>62</v>
      </c>
      <c r="B38" s="174">
        <f>Wheatland!B36+Wilton!B36+Gleason!B36</f>
        <v>-13279.640931919275</v>
      </c>
      <c r="C38" s="174">
        <f>Wheatland!C36+Wilton!C36+Gleason!C36</f>
        <v>-15181.787673978815</v>
      </c>
      <c r="D38" s="174">
        <f>Wheatland!D36+Wilton!D36+Gleason!D36</f>
        <v>-17244.200856266936</v>
      </c>
      <c r="E38" s="174">
        <f>Wheatland!E36+Wilton!E36+Gleason!E36</f>
        <v>-19444.570404736718</v>
      </c>
      <c r="F38" s="174">
        <f>Wheatland!F36+Wilton!F36+Gleason!F36</f>
        <v>-21869.588461900461</v>
      </c>
      <c r="G38" s="174">
        <f>Wheatland!G36+Wilton!G36+Gleason!G36</f>
        <v>-22956.552259952532</v>
      </c>
      <c r="H38" s="174">
        <f>Wheatland!H36+Wilton!H36+Gleason!H36</f>
        <v>-24083.542300584504</v>
      </c>
      <c r="I38" s="174">
        <f>Wheatland!I36+Wilton!I36+Gleason!I36</f>
        <v>-25232.2568281489</v>
      </c>
      <c r="J38" s="174">
        <f>Wheatland!J36+Wilton!J36+Gleason!J36</f>
        <v>-26505.290976855507</v>
      </c>
      <c r="K38" s="174">
        <f>Wheatland!K36+Wilton!K36+Gleason!K36</f>
        <v>-27818.185129626683</v>
      </c>
      <c r="L38" s="174">
        <f>Wheatland!L36+Wilton!L36+Gleason!L36</f>
        <v>-29072.573425332721</v>
      </c>
      <c r="M38" s="174">
        <f>Wheatland!M36+Wilton!M36+Gleason!M36</f>
        <v>-30415.108906161913</v>
      </c>
      <c r="N38" s="174">
        <f>Wheatland!N36+Wilton!N36+Gleason!N36</f>
        <v>-31743.290629133771</v>
      </c>
      <c r="O38" s="174">
        <f>Wheatland!O36+Wilton!O36+Gleason!O36</f>
        <v>-33229.188064925016</v>
      </c>
      <c r="P38" s="174">
        <f>Wheatland!P36+Wilton!P36+Gleason!P36</f>
        <v>-34641.540962034684</v>
      </c>
      <c r="Q38" s="174">
        <f>Wheatland!Q36+Wilton!Q36+Gleason!Q36</f>
        <v>-36326.381291557278</v>
      </c>
      <c r="R38" s="174">
        <f>Wheatland!R36+Wilton!R36+Gleason!R36</f>
        <v>-37933.947090068192</v>
      </c>
      <c r="S38" s="174">
        <f>Wheatland!S36+Wilton!S36+Gleason!S36</f>
        <v>-39620.318518282293</v>
      </c>
      <c r="T38" s="174">
        <f>Wheatland!T36+Wilton!T36+Gleason!T36</f>
        <v>-41410.942661085355</v>
      </c>
      <c r="U38" s="174">
        <f>Wheatland!U36+Wilton!U36+Gleason!U36</f>
        <v>-43314.614991109644</v>
      </c>
      <c r="W38" s="176">
        <f>SUM(B38:U38)</f>
        <v>-571323.52236366109</v>
      </c>
      <c r="X38" s="177">
        <f>SUM(Wheatland!W36,Wilton!W36,Gleason!W36)</f>
        <v>-571323.52236366121</v>
      </c>
      <c r="Y38" s="177">
        <f>W38-X38</f>
        <v>0</v>
      </c>
    </row>
    <row r="39" spans="1:25">
      <c r="A39" s="6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W39" s="176"/>
      <c r="X39" s="178"/>
      <c r="Y39" s="178"/>
    </row>
    <row r="40" spans="1:25" ht="15.75">
      <c r="A40" s="186" t="s">
        <v>63</v>
      </c>
      <c r="B40" s="187">
        <f>B35+B37+B38</f>
        <v>24662.190302135794</v>
      </c>
      <c r="C40" s="187">
        <f>C35+C37+C38</f>
        <v>28194.748537389223</v>
      </c>
      <c r="D40" s="187">
        <f t="shared" ref="D40:U40" si="9">D35+D37+D38</f>
        <v>32024.944447352864</v>
      </c>
      <c r="E40" s="187">
        <f t="shared" si="9"/>
        <v>36111.345037368177</v>
      </c>
      <c r="F40" s="187">
        <f t="shared" si="9"/>
        <v>40614.950000672281</v>
      </c>
      <c r="G40" s="187">
        <f t="shared" si="9"/>
        <v>42633.59705419754</v>
      </c>
      <c r="H40" s="187">
        <f t="shared" si="9"/>
        <v>44726.578558228386</v>
      </c>
      <c r="I40" s="187">
        <f t="shared" si="9"/>
        <v>46859.90553799086</v>
      </c>
      <c r="J40" s="187">
        <f t="shared" si="9"/>
        <v>49224.111814160235</v>
      </c>
      <c r="K40" s="187">
        <f t="shared" si="9"/>
        <v>51662.343812163861</v>
      </c>
      <c r="L40" s="187">
        <f t="shared" si="9"/>
        <v>53991.922075617898</v>
      </c>
      <c r="M40" s="187">
        <f t="shared" si="9"/>
        <v>56485.202254300719</v>
      </c>
      <c r="N40" s="187">
        <f t="shared" si="9"/>
        <v>58951.825454105638</v>
      </c>
      <c r="O40" s="187">
        <f t="shared" si="9"/>
        <v>61711.34926343221</v>
      </c>
      <c r="P40" s="187">
        <f t="shared" si="9"/>
        <v>64334.290358064427</v>
      </c>
      <c r="Q40" s="187">
        <f t="shared" si="9"/>
        <v>67463.279541463504</v>
      </c>
      <c r="R40" s="187">
        <f t="shared" si="9"/>
        <v>70448.758881555274</v>
      </c>
      <c r="S40" s="187">
        <f t="shared" si="9"/>
        <v>73580.591533952887</v>
      </c>
      <c r="T40" s="187">
        <f t="shared" si="9"/>
        <v>76906.036370587113</v>
      </c>
      <c r="U40" s="187">
        <f t="shared" si="9"/>
        <v>80441.427840632183</v>
      </c>
      <c r="W40" s="176">
        <f>SUM(B40:U40)</f>
        <v>1061029.398675371</v>
      </c>
      <c r="X40" s="177">
        <f>SUM(Wheatland!W38,Wilton!W38,Gleason!W38)</f>
        <v>1061029.398675371</v>
      </c>
      <c r="Y40" s="177">
        <f>W40-X40</f>
        <v>0</v>
      </c>
    </row>
  </sheetData>
  <pageMargins left="0.75" right="0.75" top="1" bottom="1" header="0.5" footer="0.5"/>
  <pageSetup scale="54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112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2" style="5" bestFit="1" customWidth="1"/>
    <col min="2" max="3" width="10.7109375" style="5" customWidth="1"/>
    <col min="4" max="4" width="10.7109375" style="5" bestFit="1" customWidth="1"/>
    <col min="5" max="5" width="10.7109375" style="5" customWidth="1"/>
    <col min="6" max="6" width="10.7109375" style="5" bestFit="1" customWidth="1"/>
    <col min="7" max="7" width="10.7109375" style="5" customWidth="1"/>
    <col min="8" max="11" width="10.7109375" style="5" bestFit="1" customWidth="1"/>
    <col min="12" max="12" width="10.7109375" style="5" customWidth="1"/>
    <col min="13" max="21" width="10.7109375" style="5" bestFit="1" customWidth="1"/>
    <col min="22" max="24" width="14.5703125" style="5" customWidth="1"/>
    <col min="25" max="16384" width="9.140625" style="5"/>
  </cols>
  <sheetData>
    <row r="1" spans="1:24">
      <c r="A1" s="188"/>
      <c r="C1" s="56"/>
      <c r="D1" s="189"/>
      <c r="E1" s="189"/>
      <c r="F1" s="60"/>
      <c r="G1" s="6"/>
      <c r="H1" s="6"/>
      <c r="I1" s="167"/>
      <c r="J1" s="167"/>
      <c r="K1" s="167"/>
      <c r="L1" s="60"/>
      <c r="M1" s="6"/>
      <c r="N1" s="6"/>
      <c r="O1" s="167"/>
      <c r="P1" s="167"/>
      <c r="Q1" s="167"/>
      <c r="R1" s="60"/>
      <c r="S1" s="6"/>
      <c r="T1" s="6"/>
      <c r="U1" s="6"/>
    </row>
    <row r="2" spans="1:24" ht="18">
      <c r="A2" s="157" t="s">
        <v>108</v>
      </c>
      <c r="B2" s="190"/>
      <c r="C2" s="56"/>
      <c r="D2" s="189"/>
      <c r="E2" s="189"/>
      <c r="F2" s="60"/>
      <c r="I2" s="56"/>
      <c r="J2" s="56"/>
      <c r="K2" s="56"/>
      <c r="L2" s="60"/>
      <c r="O2" s="56"/>
      <c r="P2" s="56"/>
      <c r="Q2" s="56"/>
      <c r="R2" s="60"/>
    </row>
    <row r="3" spans="1:24" s="9" customFormat="1">
      <c r="P3" s="191"/>
      <c r="Q3" s="191"/>
      <c r="R3" s="191"/>
      <c r="S3" s="191"/>
      <c r="T3" s="191"/>
      <c r="U3" s="191"/>
    </row>
    <row r="4" spans="1:24" s="194" customForma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</row>
    <row r="5" spans="1:24" ht="13.5" thickBot="1">
      <c r="A5" s="162" t="s">
        <v>49</v>
      </c>
      <c r="B5" s="195">
        <v>2001</v>
      </c>
      <c r="C5" s="195">
        <f>B5+1</f>
        <v>2002</v>
      </c>
      <c r="D5" s="195">
        <f t="shared" ref="D5:U5" si="0">C5+1</f>
        <v>2003</v>
      </c>
      <c r="E5" s="195">
        <f t="shared" si="0"/>
        <v>2004</v>
      </c>
      <c r="F5" s="195">
        <f t="shared" si="0"/>
        <v>2005</v>
      </c>
      <c r="G5" s="195">
        <f t="shared" si="0"/>
        <v>2006</v>
      </c>
      <c r="H5" s="195">
        <f t="shared" si="0"/>
        <v>2007</v>
      </c>
      <c r="I5" s="195">
        <f t="shared" si="0"/>
        <v>2008</v>
      </c>
      <c r="J5" s="195">
        <f t="shared" si="0"/>
        <v>2009</v>
      </c>
      <c r="K5" s="195">
        <f t="shared" si="0"/>
        <v>2010</v>
      </c>
      <c r="L5" s="195">
        <f t="shared" si="0"/>
        <v>2011</v>
      </c>
      <c r="M5" s="195">
        <f t="shared" si="0"/>
        <v>2012</v>
      </c>
      <c r="N5" s="195">
        <f t="shared" si="0"/>
        <v>2013</v>
      </c>
      <c r="O5" s="195">
        <f t="shared" si="0"/>
        <v>2014</v>
      </c>
      <c r="P5" s="195">
        <f t="shared" si="0"/>
        <v>2015</v>
      </c>
      <c r="Q5" s="195">
        <f t="shared" si="0"/>
        <v>2016</v>
      </c>
      <c r="R5" s="195">
        <f t="shared" si="0"/>
        <v>2017</v>
      </c>
      <c r="S5" s="195">
        <f t="shared" si="0"/>
        <v>2018</v>
      </c>
      <c r="T5" s="195">
        <f t="shared" si="0"/>
        <v>2019</v>
      </c>
      <c r="U5" s="195">
        <f t="shared" si="0"/>
        <v>2020</v>
      </c>
    </row>
    <row r="6" spans="1:24" s="198" customFormat="1">
      <c r="A6" s="196"/>
      <c r="B6" s="197">
        <v>37256</v>
      </c>
      <c r="C6" s="197">
        <v>37621</v>
      </c>
      <c r="D6" s="197">
        <v>37986</v>
      </c>
      <c r="E6" s="197">
        <v>38352</v>
      </c>
      <c r="F6" s="197">
        <v>38717</v>
      </c>
      <c r="G6" s="197">
        <v>39082</v>
      </c>
      <c r="H6" s="197">
        <v>39447</v>
      </c>
      <c r="I6" s="197">
        <v>39813</v>
      </c>
      <c r="J6" s="197">
        <v>40178</v>
      </c>
      <c r="K6" s="197">
        <v>40543</v>
      </c>
      <c r="L6" s="197">
        <v>40908</v>
      </c>
      <c r="M6" s="197">
        <v>41274</v>
      </c>
      <c r="N6" s="197">
        <v>41639</v>
      </c>
      <c r="O6" s="197">
        <v>42004</v>
      </c>
      <c r="P6" s="197">
        <v>42369</v>
      </c>
      <c r="Q6" s="197">
        <v>42735</v>
      </c>
      <c r="R6" s="197">
        <v>43100</v>
      </c>
      <c r="S6" s="197">
        <v>43465</v>
      </c>
      <c r="T6" s="197">
        <v>43830</v>
      </c>
      <c r="U6" s="197">
        <v>44196</v>
      </c>
    </row>
    <row r="7" spans="1:24">
      <c r="R7" s="9"/>
      <c r="S7" s="9"/>
      <c r="T7" s="9"/>
      <c r="U7" s="9"/>
    </row>
    <row r="8" spans="1:24">
      <c r="A8" s="26" t="s">
        <v>56</v>
      </c>
      <c r="B8" s="174">
        <f>IS!B27</f>
        <v>102592.929720534</v>
      </c>
      <c r="C8" s="174">
        <f>IS!C27</f>
        <v>107696.18880354257</v>
      </c>
      <c r="D8" s="174">
        <f>IS!D27</f>
        <v>113071.53557120672</v>
      </c>
      <c r="E8" s="174">
        <f>IS!E27</f>
        <v>118835.09197848092</v>
      </c>
      <c r="F8" s="174">
        <f>IS!F27</f>
        <v>124921.89072552331</v>
      </c>
      <c r="G8" s="174">
        <f>IS!G27</f>
        <v>126904.42051242183</v>
      </c>
      <c r="H8" s="174">
        <f>IS!H27</f>
        <v>128975.40784159752</v>
      </c>
      <c r="I8" s="174">
        <f>IS!I27</f>
        <v>131146.23840621041</v>
      </c>
      <c r="J8" s="174">
        <f>IS!J27</f>
        <v>133457.95566581364</v>
      </c>
      <c r="K8" s="174">
        <f>IS!K27</f>
        <v>135888.96959825963</v>
      </c>
      <c r="L8" s="174">
        <f>IS!L27</f>
        <v>138042.99670688031</v>
      </c>
      <c r="M8" s="174">
        <f>IS!M27</f>
        <v>140391.99302808195</v>
      </c>
      <c r="N8" s="174">
        <f>IS!N27</f>
        <v>142426.20204678635</v>
      </c>
      <c r="O8" s="174">
        <f>IS!O27</f>
        <v>144852.83411164978</v>
      </c>
      <c r="P8" s="174">
        <f>IS!P27</f>
        <v>146877.62856066786</v>
      </c>
      <c r="Q8" s="174">
        <f>IS!Q27</f>
        <v>149568.70795151161</v>
      </c>
      <c r="R8" s="174">
        <f>IS!R27</f>
        <v>151700.25008915621</v>
      </c>
      <c r="S8" s="174">
        <f>IS!S27</f>
        <v>153858.8688336176</v>
      </c>
      <c r="T8" s="174">
        <f>IS!T27</f>
        <v>156044.83346029819</v>
      </c>
      <c r="U8" s="174">
        <f>IS!U27</f>
        <v>158258.41320385283</v>
      </c>
    </row>
    <row r="9" spans="1:24">
      <c r="B9" s="6"/>
      <c r="C9" s="19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4">
      <c r="A10" s="200" t="s">
        <v>13</v>
      </c>
      <c r="B10" s="6"/>
      <c r="C10" s="19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4">
      <c r="B11" s="201">
        <f>'Summary Output'!$C$14</f>
        <v>36892</v>
      </c>
      <c r="C11" s="201">
        <v>37257</v>
      </c>
      <c r="D11" s="201">
        <v>37622</v>
      </c>
      <c r="E11" s="201">
        <v>37987</v>
      </c>
      <c r="F11" s="201">
        <v>38353</v>
      </c>
      <c r="G11" s="201">
        <v>38718</v>
      </c>
      <c r="H11" s="201">
        <v>39083</v>
      </c>
      <c r="I11" s="201">
        <v>39448</v>
      </c>
      <c r="J11" s="201">
        <v>39814</v>
      </c>
      <c r="K11" s="201">
        <v>40179</v>
      </c>
      <c r="L11" s="201">
        <v>40544</v>
      </c>
      <c r="M11" s="201">
        <v>40909</v>
      </c>
      <c r="N11" s="201">
        <v>41275</v>
      </c>
      <c r="O11" s="201">
        <v>41640</v>
      </c>
      <c r="P11" s="201">
        <v>42005</v>
      </c>
      <c r="Q11" s="201">
        <v>42370</v>
      </c>
      <c r="R11" s="201">
        <v>42736</v>
      </c>
      <c r="S11" s="201">
        <v>43101</v>
      </c>
      <c r="T11" s="201">
        <v>43466</v>
      </c>
      <c r="U11" s="201">
        <v>43831</v>
      </c>
      <c r="W11" s="202" t="s">
        <v>147</v>
      </c>
      <c r="X11" s="202" t="s">
        <v>146</v>
      </c>
    </row>
    <row r="12" spans="1:24">
      <c r="A12" s="203" t="s">
        <v>70</v>
      </c>
      <c r="B12" s="204">
        <v>0</v>
      </c>
      <c r="C12" s="204">
        <f t="shared" ref="C12:U12" si="1">B28</f>
        <v>0</v>
      </c>
      <c r="D12" s="204">
        <f t="shared" si="1"/>
        <v>0</v>
      </c>
      <c r="E12" s="204">
        <f t="shared" si="1"/>
        <v>0</v>
      </c>
      <c r="F12" s="204">
        <f t="shared" si="1"/>
        <v>0</v>
      </c>
      <c r="G12" s="204">
        <f t="shared" si="1"/>
        <v>0</v>
      </c>
      <c r="H12" s="204">
        <f t="shared" si="1"/>
        <v>0</v>
      </c>
      <c r="I12" s="204">
        <f t="shared" si="1"/>
        <v>0</v>
      </c>
      <c r="J12" s="204">
        <f t="shared" si="1"/>
        <v>0</v>
      </c>
      <c r="K12" s="204">
        <f t="shared" si="1"/>
        <v>0</v>
      </c>
      <c r="L12" s="204">
        <f t="shared" si="1"/>
        <v>0</v>
      </c>
      <c r="M12" s="204">
        <f t="shared" si="1"/>
        <v>0</v>
      </c>
      <c r="N12" s="204">
        <f t="shared" si="1"/>
        <v>0</v>
      </c>
      <c r="O12" s="204">
        <f t="shared" si="1"/>
        <v>0</v>
      </c>
      <c r="P12" s="204">
        <f t="shared" si="1"/>
        <v>0</v>
      </c>
      <c r="Q12" s="204">
        <f t="shared" si="1"/>
        <v>0</v>
      </c>
      <c r="R12" s="204">
        <f t="shared" si="1"/>
        <v>0</v>
      </c>
      <c r="S12" s="204">
        <f t="shared" si="1"/>
        <v>0</v>
      </c>
      <c r="T12" s="204">
        <f t="shared" si="1"/>
        <v>0</v>
      </c>
      <c r="U12" s="204">
        <f t="shared" si="1"/>
        <v>0</v>
      </c>
      <c r="W12" s="205"/>
      <c r="X12" s="205"/>
    </row>
    <row r="13" spans="1:24">
      <c r="A13" s="203" t="s">
        <v>72</v>
      </c>
      <c r="B13" s="206">
        <v>0</v>
      </c>
      <c r="C13" s="207">
        <f t="shared" ref="C13:U13" si="2">C12*$E$97*(C11-B23)/365.25</f>
        <v>0</v>
      </c>
      <c r="D13" s="207">
        <f t="shared" si="2"/>
        <v>0</v>
      </c>
      <c r="E13" s="207">
        <f t="shared" si="2"/>
        <v>0</v>
      </c>
      <c r="F13" s="207">
        <f t="shared" si="2"/>
        <v>0</v>
      </c>
      <c r="G13" s="207">
        <f t="shared" si="2"/>
        <v>0</v>
      </c>
      <c r="H13" s="207">
        <f t="shared" si="2"/>
        <v>0</v>
      </c>
      <c r="I13" s="207">
        <f t="shared" si="2"/>
        <v>0</v>
      </c>
      <c r="J13" s="207">
        <f t="shared" si="2"/>
        <v>0</v>
      </c>
      <c r="K13" s="207">
        <f t="shared" si="2"/>
        <v>0</v>
      </c>
      <c r="L13" s="207">
        <f t="shared" si="2"/>
        <v>0</v>
      </c>
      <c r="M13" s="207">
        <f t="shared" si="2"/>
        <v>0</v>
      </c>
      <c r="N13" s="207">
        <f t="shared" si="2"/>
        <v>0</v>
      </c>
      <c r="O13" s="207">
        <f t="shared" si="2"/>
        <v>0</v>
      </c>
      <c r="P13" s="207">
        <f t="shared" si="2"/>
        <v>0</v>
      </c>
      <c r="Q13" s="207">
        <f t="shared" si="2"/>
        <v>0</v>
      </c>
      <c r="R13" s="207">
        <f t="shared" si="2"/>
        <v>0</v>
      </c>
      <c r="S13" s="207">
        <f t="shared" si="2"/>
        <v>0</v>
      </c>
      <c r="T13" s="207">
        <f t="shared" si="2"/>
        <v>0</v>
      </c>
      <c r="U13" s="207">
        <f t="shared" si="2"/>
        <v>0</v>
      </c>
      <c r="W13" s="205"/>
      <c r="X13" s="205"/>
    </row>
    <row r="14" spans="1:24">
      <c r="A14" s="203" t="s">
        <v>73</v>
      </c>
      <c r="B14" s="168">
        <f>'Summary Output'!B15</f>
        <v>0</v>
      </c>
      <c r="C14" s="208">
        <f>C12</f>
        <v>0</v>
      </c>
      <c r="D14" s="208">
        <f>D12</f>
        <v>0</v>
      </c>
      <c r="E14" s="208">
        <f>E12</f>
        <v>0</v>
      </c>
      <c r="F14" s="208">
        <f>F12</f>
        <v>0</v>
      </c>
      <c r="G14" s="208">
        <f>G12</f>
        <v>0</v>
      </c>
      <c r="H14" s="208">
        <f t="shared" ref="H14:U14" si="3">H12</f>
        <v>0</v>
      </c>
      <c r="I14" s="208">
        <f t="shared" si="3"/>
        <v>0</v>
      </c>
      <c r="J14" s="208">
        <f t="shared" si="3"/>
        <v>0</v>
      </c>
      <c r="K14" s="208">
        <f t="shared" si="3"/>
        <v>0</v>
      </c>
      <c r="L14" s="208">
        <f t="shared" si="3"/>
        <v>0</v>
      </c>
      <c r="M14" s="208">
        <f t="shared" si="3"/>
        <v>0</v>
      </c>
      <c r="N14" s="208">
        <f t="shared" si="3"/>
        <v>0</v>
      </c>
      <c r="O14" s="208">
        <f t="shared" si="3"/>
        <v>0</v>
      </c>
      <c r="P14" s="208">
        <f t="shared" si="3"/>
        <v>0</v>
      </c>
      <c r="Q14" s="208">
        <f t="shared" si="3"/>
        <v>0</v>
      </c>
      <c r="R14" s="208">
        <f t="shared" si="3"/>
        <v>0</v>
      </c>
      <c r="S14" s="208">
        <f t="shared" si="3"/>
        <v>0</v>
      </c>
      <c r="T14" s="208">
        <f t="shared" si="3"/>
        <v>0</v>
      </c>
      <c r="U14" s="208">
        <f t="shared" si="3"/>
        <v>0</v>
      </c>
      <c r="W14" s="209">
        <f>SUM(B19:U19,B26:U26)</f>
        <v>0</v>
      </c>
      <c r="X14" s="210">
        <f>B14-W14</f>
        <v>0</v>
      </c>
    </row>
    <row r="15" spans="1:24">
      <c r="B15" s="211"/>
      <c r="C15" s="19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205"/>
      <c r="X15" s="205"/>
    </row>
    <row r="16" spans="1:24">
      <c r="A16" s="178"/>
      <c r="B16" s="201">
        <v>37072</v>
      </c>
      <c r="C16" s="201">
        <v>37437</v>
      </c>
      <c r="D16" s="201">
        <v>37802</v>
      </c>
      <c r="E16" s="201">
        <v>38168</v>
      </c>
      <c r="F16" s="201">
        <v>38533</v>
      </c>
      <c r="G16" s="201">
        <v>38898</v>
      </c>
      <c r="H16" s="201">
        <v>39263</v>
      </c>
      <c r="I16" s="201">
        <v>39629</v>
      </c>
      <c r="J16" s="201">
        <v>39994</v>
      </c>
      <c r="K16" s="201">
        <v>40359</v>
      </c>
      <c r="L16" s="201">
        <v>40724</v>
      </c>
      <c r="M16" s="201">
        <v>41090</v>
      </c>
      <c r="N16" s="201">
        <v>41455</v>
      </c>
      <c r="O16" s="201">
        <v>41820</v>
      </c>
      <c r="P16" s="201">
        <v>42185</v>
      </c>
      <c r="Q16" s="201">
        <v>42551</v>
      </c>
      <c r="R16" s="201">
        <v>42916</v>
      </c>
      <c r="S16" s="201">
        <v>43281</v>
      </c>
      <c r="T16" s="201">
        <v>43646</v>
      </c>
      <c r="U16" s="201">
        <v>44012</v>
      </c>
      <c r="W16" s="205"/>
      <c r="X16" s="205"/>
    </row>
    <row r="17" spans="1:24">
      <c r="A17" s="203" t="s">
        <v>70</v>
      </c>
      <c r="B17" s="204">
        <f t="shared" ref="B17:G17" si="4">B14</f>
        <v>0</v>
      </c>
      <c r="C17" s="204">
        <f t="shared" si="4"/>
        <v>0</v>
      </c>
      <c r="D17" s="204">
        <f t="shared" si="4"/>
        <v>0</v>
      </c>
      <c r="E17" s="204">
        <f t="shared" si="4"/>
        <v>0</v>
      </c>
      <c r="F17" s="204">
        <f t="shared" si="4"/>
        <v>0</v>
      </c>
      <c r="G17" s="204">
        <f t="shared" si="4"/>
        <v>0</v>
      </c>
      <c r="H17" s="204">
        <f t="shared" ref="H17:U17" si="5">H14</f>
        <v>0</v>
      </c>
      <c r="I17" s="204">
        <f t="shared" si="5"/>
        <v>0</v>
      </c>
      <c r="J17" s="204">
        <f t="shared" si="5"/>
        <v>0</v>
      </c>
      <c r="K17" s="204">
        <f t="shared" si="5"/>
        <v>0</v>
      </c>
      <c r="L17" s="204">
        <f t="shared" si="5"/>
        <v>0</v>
      </c>
      <c r="M17" s="204">
        <f t="shared" si="5"/>
        <v>0</v>
      </c>
      <c r="N17" s="204">
        <f t="shared" si="5"/>
        <v>0</v>
      </c>
      <c r="O17" s="204">
        <f t="shared" si="5"/>
        <v>0</v>
      </c>
      <c r="P17" s="204">
        <f t="shared" si="5"/>
        <v>0</v>
      </c>
      <c r="Q17" s="204">
        <f t="shared" si="5"/>
        <v>0</v>
      </c>
      <c r="R17" s="204">
        <f t="shared" si="5"/>
        <v>0</v>
      </c>
      <c r="S17" s="204">
        <f t="shared" si="5"/>
        <v>0</v>
      </c>
      <c r="T17" s="204">
        <f t="shared" si="5"/>
        <v>0</v>
      </c>
      <c r="U17" s="204">
        <f t="shared" si="5"/>
        <v>0</v>
      </c>
      <c r="W17" s="205"/>
      <c r="X17" s="205"/>
    </row>
    <row r="18" spans="1:24">
      <c r="A18" s="203" t="s">
        <v>201</v>
      </c>
      <c r="B18" s="212">
        <v>0</v>
      </c>
      <c r="C18" s="212">
        <v>0</v>
      </c>
      <c r="D18" s="212">
        <v>0</v>
      </c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W18" s="205"/>
      <c r="X18" s="205"/>
    </row>
    <row r="19" spans="1:24">
      <c r="A19" s="203" t="s">
        <v>71</v>
      </c>
      <c r="B19" s="204">
        <f>$B$14*B18</f>
        <v>0</v>
      </c>
      <c r="C19" s="204">
        <f>$B$14*C18</f>
        <v>0</v>
      </c>
      <c r="D19" s="204">
        <f>$B$14*D18</f>
        <v>0</v>
      </c>
      <c r="E19" s="204">
        <f t="shared" ref="E19:U19" si="6">$B$14*E18</f>
        <v>0</v>
      </c>
      <c r="F19" s="204">
        <f t="shared" si="6"/>
        <v>0</v>
      </c>
      <c r="G19" s="204">
        <f t="shared" si="6"/>
        <v>0</v>
      </c>
      <c r="H19" s="204">
        <f t="shared" si="6"/>
        <v>0</v>
      </c>
      <c r="I19" s="204">
        <f t="shared" si="6"/>
        <v>0</v>
      </c>
      <c r="J19" s="204">
        <f t="shared" si="6"/>
        <v>0</v>
      </c>
      <c r="K19" s="204">
        <f t="shared" si="6"/>
        <v>0</v>
      </c>
      <c r="L19" s="204">
        <f t="shared" si="6"/>
        <v>0</v>
      </c>
      <c r="M19" s="204">
        <f t="shared" si="6"/>
        <v>0</v>
      </c>
      <c r="N19" s="204">
        <f t="shared" si="6"/>
        <v>0</v>
      </c>
      <c r="O19" s="204">
        <f t="shared" si="6"/>
        <v>0</v>
      </c>
      <c r="P19" s="204">
        <f t="shared" si="6"/>
        <v>0</v>
      </c>
      <c r="Q19" s="204">
        <f t="shared" si="6"/>
        <v>0</v>
      </c>
      <c r="R19" s="204">
        <f t="shared" si="6"/>
        <v>0</v>
      </c>
      <c r="S19" s="204">
        <f t="shared" si="6"/>
        <v>0</v>
      </c>
      <c r="T19" s="204">
        <f t="shared" si="6"/>
        <v>0</v>
      </c>
      <c r="U19" s="204">
        <f t="shared" si="6"/>
        <v>0</v>
      </c>
      <c r="V19" s="6"/>
      <c r="W19" s="213"/>
      <c r="X19" s="213"/>
    </row>
    <row r="20" spans="1:24">
      <c r="A20" s="203" t="s">
        <v>72</v>
      </c>
      <c r="B20" s="207">
        <f t="shared" ref="B20:G20" si="7">B17*$E$97*(B16-B11)/365.25</f>
        <v>0</v>
      </c>
      <c r="C20" s="207">
        <f t="shared" si="7"/>
        <v>0</v>
      </c>
      <c r="D20" s="207">
        <f t="shared" si="7"/>
        <v>0</v>
      </c>
      <c r="E20" s="207">
        <f t="shared" si="7"/>
        <v>0</v>
      </c>
      <c r="F20" s="207">
        <f t="shared" si="7"/>
        <v>0</v>
      </c>
      <c r="G20" s="207">
        <f t="shared" si="7"/>
        <v>0</v>
      </c>
      <c r="H20" s="207">
        <f t="shared" ref="H20:U20" si="8">H17*$E$97*(H16-H11)/365.25</f>
        <v>0</v>
      </c>
      <c r="I20" s="207">
        <f t="shared" si="8"/>
        <v>0</v>
      </c>
      <c r="J20" s="207">
        <f t="shared" si="8"/>
        <v>0</v>
      </c>
      <c r="K20" s="207">
        <f t="shared" si="8"/>
        <v>0</v>
      </c>
      <c r="L20" s="207">
        <f t="shared" si="8"/>
        <v>0</v>
      </c>
      <c r="M20" s="207">
        <f t="shared" si="8"/>
        <v>0</v>
      </c>
      <c r="N20" s="207">
        <f t="shared" si="8"/>
        <v>0</v>
      </c>
      <c r="O20" s="207">
        <f t="shared" si="8"/>
        <v>0</v>
      </c>
      <c r="P20" s="207">
        <f t="shared" si="8"/>
        <v>0</v>
      </c>
      <c r="Q20" s="207">
        <f t="shared" si="8"/>
        <v>0</v>
      </c>
      <c r="R20" s="207">
        <f t="shared" si="8"/>
        <v>0</v>
      </c>
      <c r="S20" s="207">
        <f t="shared" si="8"/>
        <v>0</v>
      </c>
      <c r="T20" s="207">
        <f t="shared" si="8"/>
        <v>0</v>
      </c>
      <c r="U20" s="207">
        <f t="shared" si="8"/>
        <v>0</v>
      </c>
      <c r="V20" s="6"/>
      <c r="W20" s="213"/>
      <c r="X20" s="213"/>
    </row>
    <row r="21" spans="1:24">
      <c r="A21" s="203" t="s">
        <v>73</v>
      </c>
      <c r="B21" s="208">
        <f>B17-B19</f>
        <v>0</v>
      </c>
      <c r="C21" s="208">
        <f t="shared" ref="C21:U21" si="9">C17-C19</f>
        <v>0</v>
      </c>
      <c r="D21" s="208">
        <f t="shared" si="9"/>
        <v>0</v>
      </c>
      <c r="E21" s="208">
        <f t="shared" si="9"/>
        <v>0</v>
      </c>
      <c r="F21" s="208">
        <f t="shared" si="9"/>
        <v>0</v>
      </c>
      <c r="G21" s="208">
        <f t="shared" si="9"/>
        <v>0</v>
      </c>
      <c r="H21" s="208">
        <f t="shared" si="9"/>
        <v>0</v>
      </c>
      <c r="I21" s="208">
        <f t="shared" si="9"/>
        <v>0</v>
      </c>
      <c r="J21" s="208">
        <f t="shared" si="9"/>
        <v>0</v>
      </c>
      <c r="K21" s="208">
        <f t="shared" si="9"/>
        <v>0</v>
      </c>
      <c r="L21" s="208">
        <f t="shared" si="9"/>
        <v>0</v>
      </c>
      <c r="M21" s="208">
        <f t="shared" si="9"/>
        <v>0</v>
      </c>
      <c r="N21" s="208">
        <f t="shared" si="9"/>
        <v>0</v>
      </c>
      <c r="O21" s="208">
        <f t="shared" si="9"/>
        <v>0</v>
      </c>
      <c r="P21" s="208">
        <f t="shared" si="9"/>
        <v>0</v>
      </c>
      <c r="Q21" s="208">
        <f t="shared" si="9"/>
        <v>0</v>
      </c>
      <c r="R21" s="208">
        <f t="shared" si="9"/>
        <v>0</v>
      </c>
      <c r="S21" s="208">
        <f t="shared" si="9"/>
        <v>0</v>
      </c>
      <c r="T21" s="208">
        <f t="shared" si="9"/>
        <v>0</v>
      </c>
      <c r="U21" s="208">
        <f t="shared" si="9"/>
        <v>0</v>
      </c>
      <c r="V21" s="6"/>
      <c r="W21" s="213"/>
      <c r="X21" s="213"/>
    </row>
    <row r="22" spans="1:24">
      <c r="A22" s="203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6"/>
      <c r="W22" s="213"/>
      <c r="X22" s="213"/>
    </row>
    <row r="23" spans="1:24">
      <c r="A23" s="178"/>
      <c r="B23" s="201">
        <v>37256</v>
      </c>
      <c r="C23" s="201">
        <v>37621</v>
      </c>
      <c r="D23" s="201">
        <v>37986</v>
      </c>
      <c r="E23" s="201">
        <v>38352</v>
      </c>
      <c r="F23" s="201">
        <v>38717</v>
      </c>
      <c r="G23" s="201">
        <v>39082</v>
      </c>
      <c r="H23" s="201">
        <v>39447</v>
      </c>
      <c r="I23" s="201">
        <v>39813</v>
      </c>
      <c r="J23" s="201">
        <v>40178</v>
      </c>
      <c r="K23" s="201">
        <v>40543</v>
      </c>
      <c r="L23" s="201">
        <v>40908</v>
      </c>
      <c r="M23" s="201">
        <v>41274</v>
      </c>
      <c r="N23" s="201">
        <v>41639</v>
      </c>
      <c r="O23" s="201">
        <v>42004</v>
      </c>
      <c r="P23" s="201">
        <v>42369</v>
      </c>
      <c r="Q23" s="201">
        <v>42735</v>
      </c>
      <c r="R23" s="201">
        <v>43100</v>
      </c>
      <c r="S23" s="201">
        <v>43465</v>
      </c>
      <c r="T23" s="201">
        <v>43830</v>
      </c>
      <c r="U23" s="201">
        <v>44196</v>
      </c>
      <c r="V23" s="6"/>
      <c r="W23" s="213"/>
      <c r="X23" s="213"/>
    </row>
    <row r="24" spans="1:24">
      <c r="A24" s="203" t="s">
        <v>70</v>
      </c>
      <c r="B24" s="204">
        <f t="shared" ref="B24:G24" si="10">B21</f>
        <v>0</v>
      </c>
      <c r="C24" s="204">
        <f t="shared" si="10"/>
        <v>0</v>
      </c>
      <c r="D24" s="204">
        <f t="shared" si="10"/>
        <v>0</v>
      </c>
      <c r="E24" s="204">
        <f t="shared" si="10"/>
        <v>0</v>
      </c>
      <c r="F24" s="204">
        <f t="shared" si="10"/>
        <v>0</v>
      </c>
      <c r="G24" s="204">
        <f t="shared" si="10"/>
        <v>0</v>
      </c>
      <c r="H24" s="204">
        <f t="shared" ref="H24:U24" si="11">H21</f>
        <v>0</v>
      </c>
      <c r="I24" s="204">
        <f t="shared" si="11"/>
        <v>0</v>
      </c>
      <c r="J24" s="204">
        <f t="shared" si="11"/>
        <v>0</v>
      </c>
      <c r="K24" s="204">
        <f t="shared" si="11"/>
        <v>0</v>
      </c>
      <c r="L24" s="204">
        <f t="shared" si="11"/>
        <v>0</v>
      </c>
      <c r="M24" s="204">
        <f t="shared" si="11"/>
        <v>0</v>
      </c>
      <c r="N24" s="204">
        <f t="shared" si="11"/>
        <v>0</v>
      </c>
      <c r="O24" s="204">
        <f t="shared" si="11"/>
        <v>0</v>
      </c>
      <c r="P24" s="204">
        <f t="shared" si="11"/>
        <v>0</v>
      </c>
      <c r="Q24" s="204">
        <f t="shared" si="11"/>
        <v>0</v>
      </c>
      <c r="R24" s="204">
        <f t="shared" si="11"/>
        <v>0</v>
      </c>
      <c r="S24" s="204">
        <f t="shared" si="11"/>
        <v>0</v>
      </c>
      <c r="T24" s="204">
        <f t="shared" si="11"/>
        <v>0</v>
      </c>
      <c r="U24" s="204">
        <f t="shared" si="11"/>
        <v>0</v>
      </c>
      <c r="V24" s="6"/>
      <c r="W24" s="213"/>
      <c r="X24" s="213"/>
    </row>
    <row r="25" spans="1:24">
      <c r="A25" s="203" t="s">
        <v>201</v>
      </c>
      <c r="B25" s="212">
        <v>0</v>
      </c>
      <c r="C25" s="212">
        <v>0</v>
      </c>
      <c r="D25" s="212">
        <v>0</v>
      </c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6"/>
      <c r="W25" s="213"/>
      <c r="X25" s="213"/>
    </row>
    <row r="26" spans="1:24">
      <c r="A26" s="203" t="s">
        <v>71</v>
      </c>
      <c r="B26" s="204">
        <f>B25*$B$14</f>
        <v>0</v>
      </c>
      <c r="C26" s="204">
        <f t="shared" ref="C26:U26" si="12">C25*$B$14</f>
        <v>0</v>
      </c>
      <c r="D26" s="204">
        <f t="shared" si="12"/>
        <v>0</v>
      </c>
      <c r="E26" s="204">
        <f t="shared" si="12"/>
        <v>0</v>
      </c>
      <c r="F26" s="204">
        <f t="shared" si="12"/>
        <v>0</v>
      </c>
      <c r="G26" s="204">
        <f t="shared" si="12"/>
        <v>0</v>
      </c>
      <c r="H26" s="204">
        <f t="shared" si="12"/>
        <v>0</v>
      </c>
      <c r="I26" s="204">
        <f t="shared" si="12"/>
        <v>0</v>
      </c>
      <c r="J26" s="204">
        <f t="shared" si="12"/>
        <v>0</v>
      </c>
      <c r="K26" s="204">
        <f t="shared" si="12"/>
        <v>0</v>
      </c>
      <c r="L26" s="204">
        <f t="shared" si="12"/>
        <v>0</v>
      </c>
      <c r="M26" s="204">
        <f t="shared" si="12"/>
        <v>0</v>
      </c>
      <c r="N26" s="204">
        <f t="shared" si="12"/>
        <v>0</v>
      </c>
      <c r="O26" s="204">
        <f t="shared" si="12"/>
        <v>0</v>
      </c>
      <c r="P26" s="204">
        <f t="shared" si="12"/>
        <v>0</v>
      </c>
      <c r="Q26" s="204">
        <f t="shared" si="12"/>
        <v>0</v>
      </c>
      <c r="R26" s="204">
        <f t="shared" si="12"/>
        <v>0</v>
      </c>
      <c r="S26" s="204">
        <f t="shared" si="12"/>
        <v>0</v>
      </c>
      <c r="T26" s="204">
        <f t="shared" si="12"/>
        <v>0</v>
      </c>
      <c r="U26" s="204">
        <f t="shared" si="12"/>
        <v>0</v>
      </c>
      <c r="V26" s="6"/>
      <c r="W26" s="213"/>
      <c r="X26" s="213"/>
    </row>
    <row r="27" spans="1:24">
      <c r="A27" s="203" t="s">
        <v>72</v>
      </c>
      <c r="B27" s="207">
        <f t="shared" ref="B27:G27" si="13">B24*$E$97*(B23-B16)/365.25</f>
        <v>0</v>
      </c>
      <c r="C27" s="207">
        <f t="shared" si="13"/>
        <v>0</v>
      </c>
      <c r="D27" s="207">
        <f t="shared" si="13"/>
        <v>0</v>
      </c>
      <c r="E27" s="207">
        <f t="shared" si="13"/>
        <v>0</v>
      </c>
      <c r="F27" s="207">
        <f t="shared" si="13"/>
        <v>0</v>
      </c>
      <c r="G27" s="207">
        <f t="shared" si="13"/>
        <v>0</v>
      </c>
      <c r="H27" s="207">
        <f t="shared" ref="H27:U27" si="14">H24*$E$97*(H23-H16)/365.25</f>
        <v>0</v>
      </c>
      <c r="I27" s="207">
        <f t="shared" si="14"/>
        <v>0</v>
      </c>
      <c r="J27" s="207">
        <f t="shared" si="14"/>
        <v>0</v>
      </c>
      <c r="K27" s="207">
        <f t="shared" si="14"/>
        <v>0</v>
      </c>
      <c r="L27" s="207">
        <f t="shared" si="14"/>
        <v>0</v>
      </c>
      <c r="M27" s="207">
        <f t="shared" si="14"/>
        <v>0</v>
      </c>
      <c r="N27" s="207">
        <f t="shared" si="14"/>
        <v>0</v>
      </c>
      <c r="O27" s="207">
        <f t="shared" si="14"/>
        <v>0</v>
      </c>
      <c r="P27" s="207">
        <f t="shared" si="14"/>
        <v>0</v>
      </c>
      <c r="Q27" s="207">
        <f t="shared" si="14"/>
        <v>0</v>
      </c>
      <c r="R27" s="207">
        <f t="shared" si="14"/>
        <v>0</v>
      </c>
      <c r="S27" s="207">
        <f t="shared" si="14"/>
        <v>0</v>
      </c>
      <c r="T27" s="207">
        <f t="shared" si="14"/>
        <v>0</v>
      </c>
      <c r="U27" s="207">
        <f t="shared" si="14"/>
        <v>0</v>
      </c>
      <c r="V27" s="6"/>
      <c r="W27" s="213"/>
      <c r="X27" s="213"/>
    </row>
    <row r="28" spans="1:24">
      <c r="A28" s="203" t="s">
        <v>73</v>
      </c>
      <c r="B28" s="208">
        <f>B24-B26</f>
        <v>0</v>
      </c>
      <c r="C28" s="208">
        <f t="shared" ref="C28:U28" si="15">C24-C26</f>
        <v>0</v>
      </c>
      <c r="D28" s="208">
        <f t="shared" si="15"/>
        <v>0</v>
      </c>
      <c r="E28" s="208">
        <f t="shared" si="15"/>
        <v>0</v>
      </c>
      <c r="F28" s="208">
        <f t="shared" si="15"/>
        <v>0</v>
      </c>
      <c r="G28" s="208">
        <f t="shared" si="15"/>
        <v>0</v>
      </c>
      <c r="H28" s="208">
        <f t="shared" si="15"/>
        <v>0</v>
      </c>
      <c r="I28" s="208">
        <f t="shared" si="15"/>
        <v>0</v>
      </c>
      <c r="J28" s="208">
        <f t="shared" si="15"/>
        <v>0</v>
      </c>
      <c r="K28" s="208">
        <f t="shared" si="15"/>
        <v>0</v>
      </c>
      <c r="L28" s="208">
        <f t="shared" si="15"/>
        <v>0</v>
      </c>
      <c r="M28" s="208">
        <f t="shared" si="15"/>
        <v>0</v>
      </c>
      <c r="N28" s="208">
        <f t="shared" si="15"/>
        <v>0</v>
      </c>
      <c r="O28" s="208">
        <f t="shared" si="15"/>
        <v>0</v>
      </c>
      <c r="P28" s="208">
        <f t="shared" si="15"/>
        <v>0</v>
      </c>
      <c r="Q28" s="208">
        <f t="shared" si="15"/>
        <v>0</v>
      </c>
      <c r="R28" s="208">
        <f t="shared" si="15"/>
        <v>0</v>
      </c>
      <c r="S28" s="208">
        <f t="shared" si="15"/>
        <v>0</v>
      </c>
      <c r="T28" s="208">
        <f t="shared" si="15"/>
        <v>0</v>
      </c>
      <c r="U28" s="208">
        <f t="shared" si="15"/>
        <v>0</v>
      </c>
      <c r="W28" s="205"/>
      <c r="X28" s="205"/>
    </row>
    <row r="29" spans="1:24">
      <c r="A29" s="203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W29" s="205"/>
      <c r="X29" s="205"/>
    </row>
    <row r="30" spans="1:24">
      <c r="A30" s="200" t="s">
        <v>14</v>
      </c>
      <c r="B30" s="6"/>
      <c r="C30" s="19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205"/>
      <c r="X30" s="205"/>
    </row>
    <row r="31" spans="1:24">
      <c r="B31" s="201">
        <f>'Summary Output'!$C$14</f>
        <v>36892</v>
      </c>
      <c r="C31" s="201">
        <v>37257</v>
      </c>
      <c r="D31" s="201">
        <v>37622</v>
      </c>
      <c r="E31" s="201">
        <v>37987</v>
      </c>
      <c r="F31" s="201">
        <v>38353</v>
      </c>
      <c r="G31" s="201">
        <v>38718</v>
      </c>
      <c r="H31" s="201">
        <v>39083</v>
      </c>
      <c r="I31" s="201">
        <v>39448</v>
      </c>
      <c r="J31" s="201">
        <v>39814</v>
      </c>
      <c r="K31" s="201">
        <v>40179</v>
      </c>
      <c r="L31" s="201">
        <v>40544</v>
      </c>
      <c r="M31" s="201">
        <v>40909</v>
      </c>
      <c r="N31" s="201">
        <v>41275</v>
      </c>
      <c r="O31" s="201">
        <v>41640</v>
      </c>
      <c r="P31" s="201">
        <v>42005</v>
      </c>
      <c r="Q31" s="201">
        <v>42370</v>
      </c>
      <c r="R31" s="201">
        <v>42736</v>
      </c>
      <c r="S31" s="201">
        <v>43101</v>
      </c>
      <c r="T31" s="201">
        <v>43466</v>
      </c>
      <c r="U31" s="201">
        <v>43831</v>
      </c>
      <c r="W31" s="205"/>
      <c r="X31" s="205"/>
    </row>
    <row r="32" spans="1:24">
      <c r="A32" s="203" t="s">
        <v>70</v>
      </c>
      <c r="B32" s="204">
        <v>0</v>
      </c>
      <c r="C32" s="204">
        <f t="shared" ref="C32:U32" si="16">B48</f>
        <v>106019.62280000001</v>
      </c>
      <c r="D32" s="204">
        <f t="shared" si="16"/>
        <v>98182.2114</v>
      </c>
      <c r="E32" s="204">
        <f t="shared" si="16"/>
        <v>89238.07620000001</v>
      </c>
      <c r="F32" s="204">
        <f t="shared" si="16"/>
        <v>78893.596600000019</v>
      </c>
      <c r="G32" s="204">
        <f t="shared" si="16"/>
        <v>66922.910600000032</v>
      </c>
      <c r="H32" s="204">
        <f t="shared" si="16"/>
        <v>54681.190200000026</v>
      </c>
      <c r="I32" s="204">
        <f t="shared" si="16"/>
        <v>42010.332000000024</v>
      </c>
      <c r="J32" s="204">
        <f t="shared" si="16"/>
        <v>28797.405000000024</v>
      </c>
      <c r="K32" s="204">
        <f t="shared" si="16"/>
        <v>14839.133400000024</v>
      </c>
      <c r="L32" s="204">
        <f t="shared" si="16"/>
        <v>2.5465851649641991E-11</v>
      </c>
      <c r="M32" s="204">
        <f t="shared" si="16"/>
        <v>2.5465851649641991E-11</v>
      </c>
      <c r="N32" s="204">
        <f t="shared" si="16"/>
        <v>2.5465851649641991E-11</v>
      </c>
      <c r="O32" s="204">
        <f t="shared" si="16"/>
        <v>2.5465851649641991E-11</v>
      </c>
      <c r="P32" s="204">
        <f t="shared" si="16"/>
        <v>2.5465851649641991E-11</v>
      </c>
      <c r="Q32" s="204">
        <f t="shared" si="16"/>
        <v>2.5465851649641991E-11</v>
      </c>
      <c r="R32" s="204">
        <f t="shared" si="16"/>
        <v>2.5465851649641991E-11</v>
      </c>
      <c r="S32" s="204">
        <f t="shared" si="16"/>
        <v>2.5465851649641991E-11</v>
      </c>
      <c r="T32" s="204">
        <f t="shared" si="16"/>
        <v>2.5465851649641991E-11</v>
      </c>
      <c r="U32" s="204">
        <f t="shared" si="16"/>
        <v>2.5465851649641991E-11</v>
      </c>
      <c r="W32" s="205"/>
      <c r="X32" s="205"/>
    </row>
    <row r="33" spans="1:24">
      <c r="A33" s="203" t="s">
        <v>72</v>
      </c>
      <c r="B33" s="206">
        <v>0</v>
      </c>
      <c r="C33" s="207">
        <f t="shared" ref="C33:K33" si="17">C32*$J$97*(C31-B43)/365.25</f>
        <v>31.929249850787137</v>
      </c>
      <c r="D33" s="207">
        <f t="shared" si="17"/>
        <v>29.568906924024642</v>
      </c>
      <c r="E33" s="207">
        <f t="shared" si="17"/>
        <v>26.875259088295692</v>
      </c>
      <c r="F33" s="207">
        <f t="shared" si="17"/>
        <v>23.75987851060918</v>
      </c>
      <c r="G33" s="207">
        <f t="shared" si="17"/>
        <v>20.154743780971948</v>
      </c>
      <c r="H33" s="207">
        <f t="shared" si="17"/>
        <v>16.467983359342924</v>
      </c>
      <c r="I33" s="207">
        <f t="shared" si="17"/>
        <v>12.651982258726907</v>
      </c>
      <c r="J33" s="207">
        <f t="shared" si="17"/>
        <v>8.6727297741273173</v>
      </c>
      <c r="K33" s="207">
        <f t="shared" si="17"/>
        <v>4.4690066365503158</v>
      </c>
      <c r="L33" s="207">
        <f t="shared" ref="L33:U33" si="18">L32*$J$97*(L31-K43)/365.25</f>
        <v>7.6693872182357807E-15</v>
      </c>
      <c r="M33" s="207">
        <f t="shared" si="18"/>
        <v>7.6693872182357807E-15</v>
      </c>
      <c r="N33" s="207">
        <f t="shared" si="18"/>
        <v>7.6693872182357807E-15</v>
      </c>
      <c r="O33" s="207">
        <f t="shared" si="18"/>
        <v>7.6693872182357807E-15</v>
      </c>
      <c r="P33" s="207">
        <f t="shared" si="18"/>
        <v>7.6693872182357807E-15</v>
      </c>
      <c r="Q33" s="207">
        <f t="shared" si="18"/>
        <v>7.6693872182357807E-15</v>
      </c>
      <c r="R33" s="207">
        <f t="shared" si="18"/>
        <v>7.6693872182357807E-15</v>
      </c>
      <c r="S33" s="207">
        <f t="shared" si="18"/>
        <v>7.6693872182357807E-15</v>
      </c>
      <c r="T33" s="207">
        <f t="shared" si="18"/>
        <v>7.6693872182357807E-15</v>
      </c>
      <c r="U33" s="207">
        <f t="shared" si="18"/>
        <v>7.6693872182357807E-15</v>
      </c>
      <c r="V33" s="6"/>
      <c r="W33" s="213"/>
      <c r="X33" s="213"/>
    </row>
    <row r="34" spans="1:24">
      <c r="A34" s="203" t="s">
        <v>73</v>
      </c>
      <c r="B34" s="168">
        <f>'Summary Output'!C15</f>
        <v>112931</v>
      </c>
      <c r="C34" s="208">
        <f t="shared" ref="C34:K34" si="19">C32</f>
        <v>106019.62280000001</v>
      </c>
      <c r="D34" s="208">
        <f t="shared" si="19"/>
        <v>98182.2114</v>
      </c>
      <c r="E34" s="208">
        <f t="shared" si="19"/>
        <v>89238.07620000001</v>
      </c>
      <c r="F34" s="208">
        <f t="shared" si="19"/>
        <v>78893.596600000019</v>
      </c>
      <c r="G34" s="208">
        <f t="shared" si="19"/>
        <v>66922.910600000032</v>
      </c>
      <c r="H34" s="208">
        <f t="shared" si="19"/>
        <v>54681.190200000026</v>
      </c>
      <c r="I34" s="208">
        <f t="shared" si="19"/>
        <v>42010.332000000024</v>
      </c>
      <c r="J34" s="208">
        <f t="shared" si="19"/>
        <v>28797.405000000024</v>
      </c>
      <c r="K34" s="208">
        <f t="shared" si="19"/>
        <v>14839.133400000024</v>
      </c>
      <c r="L34" s="208">
        <f t="shared" ref="L34:U34" si="20">L32</f>
        <v>2.5465851649641991E-11</v>
      </c>
      <c r="M34" s="208">
        <f t="shared" si="20"/>
        <v>2.5465851649641991E-11</v>
      </c>
      <c r="N34" s="208">
        <f t="shared" si="20"/>
        <v>2.5465851649641991E-11</v>
      </c>
      <c r="O34" s="208">
        <f t="shared" si="20"/>
        <v>2.5465851649641991E-11</v>
      </c>
      <c r="P34" s="208">
        <f t="shared" si="20"/>
        <v>2.5465851649641991E-11</v>
      </c>
      <c r="Q34" s="208">
        <f t="shared" si="20"/>
        <v>2.5465851649641991E-11</v>
      </c>
      <c r="R34" s="208">
        <f t="shared" si="20"/>
        <v>2.5465851649641991E-11</v>
      </c>
      <c r="S34" s="208">
        <f t="shared" si="20"/>
        <v>2.5465851649641991E-11</v>
      </c>
      <c r="T34" s="208">
        <f t="shared" si="20"/>
        <v>2.5465851649641991E-11</v>
      </c>
      <c r="U34" s="208">
        <f t="shared" si="20"/>
        <v>2.5465851649641991E-11</v>
      </c>
      <c r="V34" s="6"/>
      <c r="W34" s="209">
        <f>SUM(B39:U39,B46:U46)</f>
        <v>112930.99999999997</v>
      </c>
      <c r="X34" s="210">
        <f>B34-W34</f>
        <v>0</v>
      </c>
    </row>
    <row r="35" spans="1:24">
      <c r="B35" s="211"/>
      <c r="C35" s="19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213"/>
      <c r="X35" s="213"/>
    </row>
    <row r="36" spans="1:24">
      <c r="A36" s="178"/>
      <c r="B36" s="201">
        <v>37072</v>
      </c>
      <c r="C36" s="201">
        <v>37437</v>
      </c>
      <c r="D36" s="201">
        <v>37802</v>
      </c>
      <c r="E36" s="201">
        <v>38168</v>
      </c>
      <c r="F36" s="201">
        <v>38533</v>
      </c>
      <c r="G36" s="201">
        <v>38898</v>
      </c>
      <c r="H36" s="201">
        <v>39263</v>
      </c>
      <c r="I36" s="201">
        <v>39629</v>
      </c>
      <c r="J36" s="201">
        <v>39994</v>
      </c>
      <c r="K36" s="201">
        <v>40359</v>
      </c>
      <c r="L36" s="201">
        <v>40724</v>
      </c>
      <c r="M36" s="201">
        <v>41090</v>
      </c>
      <c r="N36" s="201">
        <v>41455</v>
      </c>
      <c r="O36" s="201">
        <v>41820</v>
      </c>
      <c r="P36" s="201">
        <v>42185</v>
      </c>
      <c r="Q36" s="201">
        <v>42551</v>
      </c>
      <c r="R36" s="201">
        <v>42916</v>
      </c>
      <c r="S36" s="201">
        <v>43281</v>
      </c>
      <c r="T36" s="201">
        <v>43646</v>
      </c>
      <c r="U36" s="201">
        <v>44012</v>
      </c>
      <c r="V36" s="6"/>
      <c r="W36" s="213"/>
      <c r="X36" s="213"/>
    </row>
    <row r="37" spans="1:24">
      <c r="A37" s="203" t="s">
        <v>70</v>
      </c>
      <c r="B37" s="204">
        <f t="shared" ref="B37:K37" si="21">B34</f>
        <v>112931</v>
      </c>
      <c r="C37" s="204">
        <f t="shared" si="21"/>
        <v>106019.62280000001</v>
      </c>
      <c r="D37" s="204">
        <f t="shared" si="21"/>
        <v>98182.2114</v>
      </c>
      <c r="E37" s="204">
        <f t="shared" si="21"/>
        <v>89238.07620000001</v>
      </c>
      <c r="F37" s="204">
        <f t="shared" si="21"/>
        <v>78893.596600000019</v>
      </c>
      <c r="G37" s="204">
        <f t="shared" si="21"/>
        <v>66922.910600000032</v>
      </c>
      <c r="H37" s="204">
        <f t="shared" si="21"/>
        <v>54681.190200000026</v>
      </c>
      <c r="I37" s="204">
        <f t="shared" si="21"/>
        <v>42010.332000000024</v>
      </c>
      <c r="J37" s="204">
        <f t="shared" si="21"/>
        <v>28797.405000000024</v>
      </c>
      <c r="K37" s="204">
        <f t="shared" si="21"/>
        <v>14839.133400000024</v>
      </c>
      <c r="L37" s="204">
        <f t="shared" ref="L37:U37" si="22">L34</f>
        <v>2.5465851649641991E-11</v>
      </c>
      <c r="M37" s="204">
        <f t="shared" si="22"/>
        <v>2.5465851649641991E-11</v>
      </c>
      <c r="N37" s="204">
        <f t="shared" si="22"/>
        <v>2.5465851649641991E-11</v>
      </c>
      <c r="O37" s="204">
        <f t="shared" si="22"/>
        <v>2.5465851649641991E-11</v>
      </c>
      <c r="P37" s="204">
        <f t="shared" si="22"/>
        <v>2.5465851649641991E-11</v>
      </c>
      <c r="Q37" s="204">
        <f t="shared" si="22"/>
        <v>2.5465851649641991E-11</v>
      </c>
      <c r="R37" s="204">
        <f t="shared" si="22"/>
        <v>2.5465851649641991E-11</v>
      </c>
      <c r="S37" s="204">
        <f t="shared" si="22"/>
        <v>2.5465851649641991E-11</v>
      </c>
      <c r="T37" s="204">
        <f t="shared" si="22"/>
        <v>2.5465851649641991E-11</v>
      </c>
      <c r="U37" s="204">
        <f t="shared" si="22"/>
        <v>2.5465851649641991E-11</v>
      </c>
      <c r="V37" s="6"/>
      <c r="W37" s="213"/>
      <c r="X37" s="213"/>
    </row>
    <row r="38" spans="1:24">
      <c r="A38" s="203" t="s">
        <v>201</v>
      </c>
      <c r="B38" s="212">
        <v>3.0599999999999999E-2</v>
      </c>
      <c r="C38" s="212">
        <v>3.4700000000000002E-2</v>
      </c>
      <c r="D38" s="212">
        <v>3.9600000000000003E-2</v>
      </c>
      <c r="E38" s="212">
        <v>4.58E-2</v>
      </c>
      <c r="F38" s="212">
        <v>5.2999999999999999E-2</v>
      </c>
      <c r="G38" s="212">
        <v>5.4199999999999998E-2</v>
      </c>
      <c r="H38" s="212">
        <v>5.6099999999999997E-2</v>
      </c>
      <c r="I38" s="212">
        <v>5.8500000000000003E-2</v>
      </c>
      <c r="J38" s="212">
        <v>6.1800000000000001E-2</v>
      </c>
      <c r="K38" s="212">
        <v>6.5699999999999995E-2</v>
      </c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W38" s="205"/>
      <c r="X38" s="205"/>
    </row>
    <row r="39" spans="1:24">
      <c r="A39" s="203" t="s">
        <v>71</v>
      </c>
      <c r="B39" s="204">
        <f>B38*$B$34</f>
        <v>3455.6886</v>
      </c>
      <c r="C39" s="204">
        <f t="shared" ref="C39:U39" si="23">C38*$B$34</f>
        <v>3918.7057</v>
      </c>
      <c r="D39" s="204">
        <f t="shared" si="23"/>
        <v>4472.0676000000003</v>
      </c>
      <c r="E39" s="204">
        <f t="shared" si="23"/>
        <v>5172.2398000000003</v>
      </c>
      <c r="F39" s="204">
        <f t="shared" si="23"/>
        <v>5985.3429999999998</v>
      </c>
      <c r="G39" s="204">
        <f t="shared" si="23"/>
        <v>6120.8602000000001</v>
      </c>
      <c r="H39" s="204">
        <f t="shared" si="23"/>
        <v>6335.4290999999994</v>
      </c>
      <c r="I39" s="204">
        <f t="shared" si="23"/>
        <v>6606.4635000000007</v>
      </c>
      <c r="J39" s="204">
        <f t="shared" si="23"/>
        <v>6979.1358</v>
      </c>
      <c r="K39" s="204">
        <f t="shared" si="23"/>
        <v>7419.5666999999994</v>
      </c>
      <c r="L39" s="204">
        <f t="shared" si="23"/>
        <v>0</v>
      </c>
      <c r="M39" s="204">
        <f t="shared" si="23"/>
        <v>0</v>
      </c>
      <c r="N39" s="204">
        <f t="shared" si="23"/>
        <v>0</v>
      </c>
      <c r="O39" s="204">
        <f t="shared" si="23"/>
        <v>0</v>
      </c>
      <c r="P39" s="204">
        <f t="shared" si="23"/>
        <v>0</v>
      </c>
      <c r="Q39" s="204">
        <f t="shared" si="23"/>
        <v>0</v>
      </c>
      <c r="R39" s="204">
        <f t="shared" si="23"/>
        <v>0</v>
      </c>
      <c r="S39" s="204">
        <f t="shared" si="23"/>
        <v>0</v>
      </c>
      <c r="T39" s="204">
        <f t="shared" si="23"/>
        <v>0</v>
      </c>
      <c r="U39" s="204">
        <f t="shared" si="23"/>
        <v>0</v>
      </c>
      <c r="V39" s="6"/>
      <c r="W39" s="213"/>
      <c r="X39" s="213"/>
    </row>
    <row r="40" spans="1:24">
      <c r="A40" s="203" t="s">
        <v>72</v>
      </c>
      <c r="B40" s="207">
        <f t="shared" ref="B40:K40" si="24">B37*$J$97*(B36-B31)/365.25</f>
        <v>6121.9268993839833</v>
      </c>
      <c r="C40" s="207">
        <f t="shared" si="24"/>
        <v>5747.264973141685</v>
      </c>
      <c r="D40" s="207">
        <f t="shared" si="24"/>
        <v>5322.4032463244357</v>
      </c>
      <c r="E40" s="207">
        <f t="shared" si="24"/>
        <v>4864.4218949815204</v>
      </c>
      <c r="F40" s="207">
        <f t="shared" si="24"/>
        <v>4276.7781319096521</v>
      </c>
      <c r="G40" s="207">
        <f t="shared" si="24"/>
        <v>3627.8538805749504</v>
      </c>
      <c r="H40" s="207">
        <f t="shared" si="24"/>
        <v>2964.2370046817264</v>
      </c>
      <c r="I40" s="207">
        <f t="shared" si="24"/>
        <v>2290.0087888295702</v>
      </c>
      <c r="J40" s="207">
        <f t="shared" si="24"/>
        <v>1561.0913593429173</v>
      </c>
      <c r="K40" s="207">
        <f t="shared" si="24"/>
        <v>804.42119457905676</v>
      </c>
      <c r="L40" s="207">
        <f t="shared" ref="L40:U40" si="25">L37*$J$97*(L36-L31)/365.25</f>
        <v>1.3804896992824405E-12</v>
      </c>
      <c r="M40" s="207">
        <f t="shared" si="25"/>
        <v>1.3881590865006765E-12</v>
      </c>
      <c r="N40" s="207">
        <f t="shared" si="25"/>
        <v>1.3804896992824405E-12</v>
      </c>
      <c r="O40" s="207">
        <f t="shared" si="25"/>
        <v>1.3804896992824405E-12</v>
      </c>
      <c r="P40" s="207">
        <f t="shared" si="25"/>
        <v>1.3804896992824405E-12</v>
      </c>
      <c r="Q40" s="207">
        <f t="shared" si="25"/>
        <v>1.3881590865006765E-12</v>
      </c>
      <c r="R40" s="207">
        <f t="shared" si="25"/>
        <v>1.3804896992824405E-12</v>
      </c>
      <c r="S40" s="207">
        <f t="shared" si="25"/>
        <v>1.3804896992824405E-12</v>
      </c>
      <c r="T40" s="207">
        <f t="shared" si="25"/>
        <v>1.3804896992824405E-12</v>
      </c>
      <c r="U40" s="207">
        <f t="shared" si="25"/>
        <v>1.3881590865006765E-12</v>
      </c>
      <c r="V40" s="6"/>
      <c r="W40" s="213"/>
      <c r="X40" s="213"/>
    </row>
    <row r="41" spans="1:24">
      <c r="A41" s="203" t="s">
        <v>73</v>
      </c>
      <c r="B41" s="208">
        <f>B37-B39</f>
        <v>109475.31140000001</v>
      </c>
      <c r="C41" s="208">
        <f t="shared" ref="C41:U41" si="26">C37-C39</f>
        <v>102100.91710000001</v>
      </c>
      <c r="D41" s="208">
        <f t="shared" si="26"/>
        <v>93710.143800000005</v>
      </c>
      <c r="E41" s="208">
        <f t="shared" si="26"/>
        <v>84065.836400000015</v>
      </c>
      <c r="F41" s="208">
        <f t="shared" si="26"/>
        <v>72908.253600000025</v>
      </c>
      <c r="G41" s="208">
        <f t="shared" si="26"/>
        <v>60802.050400000029</v>
      </c>
      <c r="H41" s="208">
        <f t="shared" si="26"/>
        <v>48345.761100000025</v>
      </c>
      <c r="I41" s="208">
        <f t="shared" si="26"/>
        <v>35403.868500000026</v>
      </c>
      <c r="J41" s="208">
        <f t="shared" si="26"/>
        <v>21818.269200000024</v>
      </c>
      <c r="K41" s="208">
        <f t="shared" si="26"/>
        <v>7419.5667000000249</v>
      </c>
      <c r="L41" s="208">
        <f t="shared" si="26"/>
        <v>2.5465851649641991E-11</v>
      </c>
      <c r="M41" s="208">
        <f t="shared" si="26"/>
        <v>2.5465851649641991E-11</v>
      </c>
      <c r="N41" s="208">
        <f t="shared" si="26"/>
        <v>2.5465851649641991E-11</v>
      </c>
      <c r="O41" s="208">
        <f t="shared" si="26"/>
        <v>2.5465851649641991E-11</v>
      </c>
      <c r="P41" s="208">
        <f t="shared" si="26"/>
        <v>2.5465851649641991E-11</v>
      </c>
      <c r="Q41" s="208">
        <f t="shared" si="26"/>
        <v>2.5465851649641991E-11</v>
      </c>
      <c r="R41" s="208">
        <f t="shared" si="26"/>
        <v>2.5465851649641991E-11</v>
      </c>
      <c r="S41" s="208">
        <f t="shared" si="26"/>
        <v>2.5465851649641991E-11</v>
      </c>
      <c r="T41" s="208">
        <f t="shared" si="26"/>
        <v>2.5465851649641991E-11</v>
      </c>
      <c r="U41" s="208">
        <f t="shared" si="26"/>
        <v>2.5465851649641991E-11</v>
      </c>
      <c r="V41" s="6"/>
      <c r="W41" s="213"/>
      <c r="X41" s="213"/>
    </row>
    <row r="42" spans="1:24">
      <c r="A42" s="203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W42" s="205"/>
      <c r="X42" s="205"/>
    </row>
    <row r="43" spans="1:24">
      <c r="A43" s="178"/>
      <c r="B43" s="201">
        <v>37256</v>
      </c>
      <c r="C43" s="201">
        <v>37621</v>
      </c>
      <c r="D43" s="201">
        <v>37986</v>
      </c>
      <c r="E43" s="201">
        <v>38352</v>
      </c>
      <c r="F43" s="201">
        <v>38717</v>
      </c>
      <c r="G43" s="201">
        <v>39082</v>
      </c>
      <c r="H43" s="201">
        <v>39447</v>
      </c>
      <c r="I43" s="201">
        <v>39813</v>
      </c>
      <c r="J43" s="201">
        <v>40178</v>
      </c>
      <c r="K43" s="201">
        <v>40543</v>
      </c>
      <c r="L43" s="201">
        <v>40908</v>
      </c>
      <c r="M43" s="201">
        <v>41274</v>
      </c>
      <c r="N43" s="201">
        <v>41639</v>
      </c>
      <c r="O43" s="201">
        <v>42004</v>
      </c>
      <c r="P43" s="201">
        <v>42369</v>
      </c>
      <c r="Q43" s="201">
        <v>42735</v>
      </c>
      <c r="R43" s="201">
        <v>43100</v>
      </c>
      <c r="S43" s="201">
        <v>43465</v>
      </c>
      <c r="T43" s="201">
        <v>43830</v>
      </c>
      <c r="U43" s="201">
        <v>44196</v>
      </c>
      <c r="W43" s="205"/>
      <c r="X43" s="205"/>
    </row>
    <row r="44" spans="1:24">
      <c r="A44" s="203" t="s">
        <v>70</v>
      </c>
      <c r="B44" s="204">
        <f>B41</f>
        <v>109475.31140000001</v>
      </c>
      <c r="C44" s="204">
        <f t="shared" ref="C44:K44" si="27">C41</f>
        <v>102100.91710000001</v>
      </c>
      <c r="D44" s="204">
        <f t="shared" si="27"/>
        <v>93710.143800000005</v>
      </c>
      <c r="E44" s="204">
        <f t="shared" si="27"/>
        <v>84065.836400000015</v>
      </c>
      <c r="F44" s="204">
        <f t="shared" si="27"/>
        <v>72908.253600000025</v>
      </c>
      <c r="G44" s="204">
        <f t="shared" si="27"/>
        <v>60802.050400000029</v>
      </c>
      <c r="H44" s="204">
        <f t="shared" si="27"/>
        <v>48345.761100000025</v>
      </c>
      <c r="I44" s="204">
        <f t="shared" si="27"/>
        <v>35403.868500000026</v>
      </c>
      <c r="J44" s="204">
        <f t="shared" si="27"/>
        <v>21818.269200000024</v>
      </c>
      <c r="K44" s="204">
        <f t="shared" si="27"/>
        <v>7419.5667000000249</v>
      </c>
      <c r="L44" s="204">
        <f t="shared" ref="L44:U44" si="28">L41</f>
        <v>2.5465851649641991E-11</v>
      </c>
      <c r="M44" s="204">
        <f t="shared" si="28"/>
        <v>2.5465851649641991E-11</v>
      </c>
      <c r="N44" s="204">
        <f t="shared" si="28"/>
        <v>2.5465851649641991E-11</v>
      </c>
      <c r="O44" s="204">
        <f t="shared" si="28"/>
        <v>2.5465851649641991E-11</v>
      </c>
      <c r="P44" s="204">
        <f t="shared" si="28"/>
        <v>2.5465851649641991E-11</v>
      </c>
      <c r="Q44" s="204">
        <f t="shared" si="28"/>
        <v>2.5465851649641991E-11</v>
      </c>
      <c r="R44" s="204">
        <f t="shared" si="28"/>
        <v>2.5465851649641991E-11</v>
      </c>
      <c r="S44" s="204">
        <f t="shared" si="28"/>
        <v>2.5465851649641991E-11</v>
      </c>
      <c r="T44" s="204">
        <f t="shared" si="28"/>
        <v>2.5465851649641991E-11</v>
      </c>
      <c r="U44" s="204">
        <f t="shared" si="28"/>
        <v>2.5465851649641991E-11</v>
      </c>
      <c r="W44" s="205"/>
      <c r="X44" s="205"/>
    </row>
    <row r="45" spans="1:24">
      <c r="A45" s="203" t="s">
        <v>201</v>
      </c>
      <c r="B45" s="212">
        <f>B38</f>
        <v>3.0599999999999999E-2</v>
      </c>
      <c r="C45" s="212">
        <f t="shared" ref="C45:K45" si="29">C38</f>
        <v>3.4700000000000002E-2</v>
      </c>
      <c r="D45" s="212">
        <f t="shared" si="29"/>
        <v>3.9600000000000003E-2</v>
      </c>
      <c r="E45" s="212">
        <f t="shared" si="29"/>
        <v>4.58E-2</v>
      </c>
      <c r="F45" s="212">
        <f t="shared" si="29"/>
        <v>5.2999999999999999E-2</v>
      </c>
      <c r="G45" s="212">
        <f t="shared" si="29"/>
        <v>5.4199999999999998E-2</v>
      </c>
      <c r="H45" s="212">
        <f t="shared" si="29"/>
        <v>5.6099999999999997E-2</v>
      </c>
      <c r="I45" s="212">
        <f t="shared" si="29"/>
        <v>5.8500000000000003E-2</v>
      </c>
      <c r="J45" s="212">
        <f t="shared" si="29"/>
        <v>6.1800000000000001E-2</v>
      </c>
      <c r="K45" s="212">
        <f t="shared" si="29"/>
        <v>6.5699999999999995E-2</v>
      </c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W45" s="205"/>
      <c r="X45" s="205"/>
    </row>
    <row r="46" spans="1:24">
      <c r="A46" s="203" t="s">
        <v>71</v>
      </c>
      <c r="B46" s="204">
        <f t="shared" ref="B46:U46" si="30">B45*$B$34</f>
        <v>3455.6886</v>
      </c>
      <c r="C46" s="204">
        <f t="shared" si="30"/>
        <v>3918.7057</v>
      </c>
      <c r="D46" s="204">
        <f t="shared" si="30"/>
        <v>4472.0676000000003</v>
      </c>
      <c r="E46" s="204">
        <f t="shared" si="30"/>
        <v>5172.2398000000003</v>
      </c>
      <c r="F46" s="204">
        <f t="shared" si="30"/>
        <v>5985.3429999999998</v>
      </c>
      <c r="G46" s="204">
        <f t="shared" si="30"/>
        <v>6120.8602000000001</v>
      </c>
      <c r="H46" s="204">
        <f t="shared" si="30"/>
        <v>6335.4290999999994</v>
      </c>
      <c r="I46" s="204">
        <f t="shared" si="30"/>
        <v>6606.4635000000007</v>
      </c>
      <c r="J46" s="204">
        <f t="shared" si="30"/>
        <v>6979.1358</v>
      </c>
      <c r="K46" s="204">
        <f t="shared" si="30"/>
        <v>7419.5666999999994</v>
      </c>
      <c r="L46" s="204">
        <f t="shared" si="30"/>
        <v>0</v>
      </c>
      <c r="M46" s="204">
        <f t="shared" si="30"/>
        <v>0</v>
      </c>
      <c r="N46" s="204">
        <f t="shared" si="30"/>
        <v>0</v>
      </c>
      <c r="O46" s="204">
        <f t="shared" si="30"/>
        <v>0</v>
      </c>
      <c r="P46" s="204">
        <f t="shared" si="30"/>
        <v>0</v>
      </c>
      <c r="Q46" s="204">
        <f t="shared" si="30"/>
        <v>0</v>
      </c>
      <c r="R46" s="204">
        <f t="shared" si="30"/>
        <v>0</v>
      </c>
      <c r="S46" s="204">
        <f t="shared" si="30"/>
        <v>0</v>
      </c>
      <c r="T46" s="204">
        <f t="shared" si="30"/>
        <v>0</v>
      </c>
      <c r="U46" s="204">
        <f t="shared" si="30"/>
        <v>0</v>
      </c>
      <c r="W46" s="205"/>
      <c r="X46" s="205"/>
    </row>
    <row r="47" spans="1:24">
      <c r="A47" s="203" t="s">
        <v>72</v>
      </c>
      <c r="B47" s="207">
        <f>B44*$J$97*(B43-B36)/365.25</f>
        <v>6066.4758459575642</v>
      </c>
      <c r="C47" s="207">
        <f t="shared" ref="C47:K47" si="31">C44*$J$97*(C43-C36)/365.25</f>
        <v>5657.8304232826831</v>
      </c>
      <c r="D47" s="207">
        <f t="shared" si="31"/>
        <v>5192.8632731334701</v>
      </c>
      <c r="E47" s="207">
        <f t="shared" si="31"/>
        <v>4658.4326590992478</v>
      </c>
      <c r="F47" s="207">
        <f t="shared" si="31"/>
        <v>4040.1452508254633</v>
      </c>
      <c r="G47" s="207">
        <f t="shared" si="31"/>
        <v>3369.2908969089685</v>
      </c>
      <c r="H47" s="207">
        <f t="shared" si="31"/>
        <v>2679.036836862424</v>
      </c>
      <c r="I47" s="207">
        <f t="shared" si="31"/>
        <v>1961.8735070225887</v>
      </c>
      <c r="J47" s="207">
        <f t="shared" si="31"/>
        <v>1209.0397497823421</v>
      </c>
      <c r="K47" s="207">
        <f t="shared" si="31"/>
        <v>411.1486105626297</v>
      </c>
      <c r="L47" s="207">
        <f t="shared" ref="L47:U47" si="32">L44*$J$97*(L43-L36)/365.25</f>
        <v>1.4111672481553838E-12</v>
      </c>
      <c r="M47" s="207">
        <f t="shared" si="32"/>
        <v>1.4111672481553838E-12</v>
      </c>
      <c r="N47" s="207">
        <f t="shared" si="32"/>
        <v>1.4111672481553838E-12</v>
      </c>
      <c r="O47" s="207">
        <f t="shared" si="32"/>
        <v>1.4111672481553838E-12</v>
      </c>
      <c r="P47" s="207">
        <f t="shared" si="32"/>
        <v>1.4111672481553838E-12</v>
      </c>
      <c r="Q47" s="207">
        <f t="shared" si="32"/>
        <v>1.4111672481553838E-12</v>
      </c>
      <c r="R47" s="207">
        <f t="shared" si="32"/>
        <v>1.4111672481553838E-12</v>
      </c>
      <c r="S47" s="207">
        <f t="shared" si="32"/>
        <v>1.4111672481553838E-12</v>
      </c>
      <c r="T47" s="207">
        <f t="shared" si="32"/>
        <v>1.4111672481553838E-12</v>
      </c>
      <c r="U47" s="207">
        <f t="shared" si="32"/>
        <v>1.4111672481553838E-12</v>
      </c>
      <c r="W47" s="205"/>
      <c r="X47" s="205"/>
    </row>
    <row r="48" spans="1:24">
      <c r="A48" s="203" t="s">
        <v>73</v>
      </c>
      <c r="B48" s="208">
        <f>B44-B46</f>
        <v>106019.62280000001</v>
      </c>
      <c r="C48" s="208">
        <f t="shared" ref="C48:U48" si="33">C44-C46</f>
        <v>98182.2114</v>
      </c>
      <c r="D48" s="208">
        <f t="shared" si="33"/>
        <v>89238.07620000001</v>
      </c>
      <c r="E48" s="208">
        <f t="shared" si="33"/>
        <v>78893.596600000019</v>
      </c>
      <c r="F48" s="208">
        <f t="shared" si="33"/>
        <v>66922.910600000032</v>
      </c>
      <c r="G48" s="208">
        <f t="shared" si="33"/>
        <v>54681.190200000026</v>
      </c>
      <c r="H48" s="208">
        <f t="shared" si="33"/>
        <v>42010.332000000024</v>
      </c>
      <c r="I48" s="208">
        <f t="shared" si="33"/>
        <v>28797.405000000024</v>
      </c>
      <c r="J48" s="208">
        <f t="shared" si="33"/>
        <v>14839.133400000024</v>
      </c>
      <c r="K48" s="208">
        <f t="shared" si="33"/>
        <v>2.5465851649641991E-11</v>
      </c>
      <c r="L48" s="208">
        <f t="shared" si="33"/>
        <v>2.5465851649641991E-11</v>
      </c>
      <c r="M48" s="208">
        <f t="shared" si="33"/>
        <v>2.5465851649641991E-11</v>
      </c>
      <c r="N48" s="208">
        <f t="shared" si="33"/>
        <v>2.5465851649641991E-11</v>
      </c>
      <c r="O48" s="208">
        <f t="shared" si="33"/>
        <v>2.5465851649641991E-11</v>
      </c>
      <c r="P48" s="208">
        <f t="shared" si="33"/>
        <v>2.5465851649641991E-11</v>
      </c>
      <c r="Q48" s="208">
        <f t="shared" si="33"/>
        <v>2.5465851649641991E-11</v>
      </c>
      <c r="R48" s="208">
        <f t="shared" si="33"/>
        <v>2.5465851649641991E-11</v>
      </c>
      <c r="S48" s="208">
        <f t="shared" si="33"/>
        <v>2.5465851649641991E-11</v>
      </c>
      <c r="T48" s="208">
        <f t="shared" si="33"/>
        <v>2.5465851649641991E-11</v>
      </c>
      <c r="U48" s="208">
        <f t="shared" si="33"/>
        <v>2.5465851649641991E-11</v>
      </c>
      <c r="W48" s="205"/>
      <c r="X48" s="205"/>
    </row>
    <row r="49" spans="1:24">
      <c r="A49" s="203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W49" s="205"/>
      <c r="X49" s="205"/>
    </row>
    <row r="50" spans="1:24">
      <c r="A50" s="200" t="s">
        <v>15</v>
      </c>
      <c r="B50" s="6"/>
      <c r="C50" s="19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205"/>
      <c r="X50" s="205"/>
    </row>
    <row r="51" spans="1:24">
      <c r="B51" s="201">
        <f>'Summary Output'!$C$14</f>
        <v>36892</v>
      </c>
      <c r="C51" s="201">
        <v>37257</v>
      </c>
      <c r="D51" s="201">
        <v>37622</v>
      </c>
      <c r="E51" s="201">
        <v>37987</v>
      </c>
      <c r="F51" s="201">
        <v>38353</v>
      </c>
      <c r="G51" s="201">
        <v>38718</v>
      </c>
      <c r="H51" s="201">
        <v>39083</v>
      </c>
      <c r="I51" s="201">
        <v>39448</v>
      </c>
      <c r="J51" s="201">
        <v>39814</v>
      </c>
      <c r="K51" s="201">
        <v>40179</v>
      </c>
      <c r="L51" s="201">
        <v>40544</v>
      </c>
      <c r="M51" s="201">
        <v>40909</v>
      </c>
      <c r="N51" s="201">
        <v>41275</v>
      </c>
      <c r="O51" s="201">
        <v>41640</v>
      </c>
      <c r="P51" s="201">
        <v>42005</v>
      </c>
      <c r="Q51" s="201">
        <v>42370</v>
      </c>
      <c r="R51" s="201">
        <v>42736</v>
      </c>
      <c r="S51" s="201">
        <v>43101</v>
      </c>
      <c r="T51" s="201">
        <v>43466</v>
      </c>
      <c r="U51" s="201">
        <v>43831</v>
      </c>
      <c r="W51" s="205"/>
      <c r="X51" s="205"/>
    </row>
    <row r="52" spans="1:24">
      <c r="A52" s="203" t="s">
        <v>70</v>
      </c>
      <c r="B52" s="204">
        <v>0</v>
      </c>
      <c r="C52" s="204">
        <f>B68</f>
        <v>236225</v>
      </c>
      <c r="D52" s="204">
        <f t="shared" ref="D52:U52" si="34">C68</f>
        <v>236225</v>
      </c>
      <c r="E52" s="204">
        <f t="shared" si="34"/>
        <v>236225</v>
      </c>
      <c r="F52" s="204">
        <f t="shared" si="34"/>
        <v>236225</v>
      </c>
      <c r="G52" s="204">
        <f t="shared" si="34"/>
        <v>236225</v>
      </c>
      <c r="H52" s="204">
        <f t="shared" si="34"/>
        <v>236225</v>
      </c>
      <c r="I52" s="204">
        <f t="shared" si="34"/>
        <v>236225</v>
      </c>
      <c r="J52" s="204">
        <f t="shared" si="34"/>
        <v>236225</v>
      </c>
      <c r="K52" s="204">
        <f t="shared" si="34"/>
        <v>236225</v>
      </c>
      <c r="L52" s="204">
        <f t="shared" si="34"/>
        <v>236225</v>
      </c>
      <c r="M52" s="204">
        <f t="shared" si="34"/>
        <v>220397.92499999999</v>
      </c>
      <c r="N52" s="204">
        <f t="shared" si="34"/>
        <v>203389.72499999998</v>
      </c>
      <c r="O52" s="204">
        <f t="shared" si="34"/>
        <v>185058.66499999998</v>
      </c>
      <c r="P52" s="204">
        <f t="shared" si="34"/>
        <v>165168.51999999996</v>
      </c>
      <c r="Q52" s="204">
        <f t="shared" si="34"/>
        <v>143577.55499999993</v>
      </c>
      <c r="R52" s="204">
        <f t="shared" si="34"/>
        <v>119907.80999999994</v>
      </c>
      <c r="S52" s="204">
        <f t="shared" si="34"/>
        <v>94017.54999999993</v>
      </c>
      <c r="T52" s="204">
        <f t="shared" si="34"/>
        <v>65623.304999999935</v>
      </c>
      <c r="U52" s="204">
        <f t="shared" si="34"/>
        <v>34394.359999999928</v>
      </c>
      <c r="W52" s="205"/>
      <c r="X52" s="205"/>
    </row>
    <row r="53" spans="1:24">
      <c r="A53" s="215" t="s">
        <v>72</v>
      </c>
      <c r="B53" s="206">
        <v>0</v>
      </c>
      <c r="C53" s="207">
        <f t="shared" ref="C53:U53" si="35">C52*$O$97*(C51-B63)/365.25</f>
        <v>72.435865845311426</v>
      </c>
      <c r="D53" s="207">
        <f t="shared" si="35"/>
        <v>72.435865845311426</v>
      </c>
      <c r="E53" s="207">
        <f t="shared" si="35"/>
        <v>72.435865845311426</v>
      </c>
      <c r="F53" s="207">
        <f t="shared" si="35"/>
        <v>72.435865845311426</v>
      </c>
      <c r="G53" s="207">
        <f t="shared" si="35"/>
        <v>72.435865845311426</v>
      </c>
      <c r="H53" s="207">
        <f t="shared" si="35"/>
        <v>72.435865845311426</v>
      </c>
      <c r="I53" s="207">
        <f t="shared" si="35"/>
        <v>72.435865845311426</v>
      </c>
      <c r="J53" s="207">
        <f t="shared" si="35"/>
        <v>72.435865845311426</v>
      </c>
      <c r="K53" s="207">
        <f t="shared" si="35"/>
        <v>72.435865845311426</v>
      </c>
      <c r="L53" s="207">
        <f t="shared" si="35"/>
        <v>72.435865845311426</v>
      </c>
      <c r="M53" s="207">
        <f t="shared" si="35"/>
        <v>67.582662833675556</v>
      </c>
      <c r="N53" s="207">
        <f t="shared" si="35"/>
        <v>62.36728049281313</v>
      </c>
      <c r="O53" s="207">
        <f t="shared" si="35"/>
        <v>56.746257303216971</v>
      </c>
      <c r="P53" s="207">
        <f t="shared" si="35"/>
        <v>50.647157399041745</v>
      </c>
      <c r="Q53" s="207">
        <f t="shared" si="35"/>
        <v>44.026519260780269</v>
      </c>
      <c r="R53" s="207">
        <f t="shared" si="35"/>
        <v>36.768445503080066</v>
      </c>
      <c r="S53" s="207">
        <f t="shared" si="35"/>
        <v>28.829474606433926</v>
      </c>
      <c r="T53" s="207">
        <f t="shared" si="35"/>
        <v>20.122683531827494</v>
      </c>
      <c r="U53" s="207">
        <f t="shared" si="35"/>
        <v>10.546662067077323</v>
      </c>
      <c r="W53" s="205"/>
      <c r="X53" s="205"/>
    </row>
    <row r="54" spans="1:24">
      <c r="A54" s="215" t="s">
        <v>73</v>
      </c>
      <c r="B54" s="168">
        <f>'Summary Output'!D15</f>
        <v>236225</v>
      </c>
      <c r="C54" s="208">
        <f>C52</f>
        <v>236225</v>
      </c>
      <c r="D54" s="208">
        <f t="shared" ref="D54:U54" si="36">D52</f>
        <v>236225</v>
      </c>
      <c r="E54" s="208">
        <f t="shared" si="36"/>
        <v>236225</v>
      </c>
      <c r="F54" s="208">
        <f t="shared" si="36"/>
        <v>236225</v>
      </c>
      <c r="G54" s="208">
        <f t="shared" si="36"/>
        <v>236225</v>
      </c>
      <c r="H54" s="208">
        <f t="shared" si="36"/>
        <v>236225</v>
      </c>
      <c r="I54" s="208">
        <f t="shared" si="36"/>
        <v>236225</v>
      </c>
      <c r="J54" s="208">
        <f t="shared" si="36"/>
        <v>236225</v>
      </c>
      <c r="K54" s="208">
        <f t="shared" si="36"/>
        <v>236225</v>
      </c>
      <c r="L54" s="208">
        <f t="shared" si="36"/>
        <v>236225</v>
      </c>
      <c r="M54" s="208">
        <f t="shared" si="36"/>
        <v>220397.92499999999</v>
      </c>
      <c r="N54" s="208">
        <f t="shared" si="36"/>
        <v>203389.72499999998</v>
      </c>
      <c r="O54" s="208">
        <f t="shared" si="36"/>
        <v>185058.66499999998</v>
      </c>
      <c r="P54" s="208">
        <f t="shared" si="36"/>
        <v>165168.51999999996</v>
      </c>
      <c r="Q54" s="208">
        <f t="shared" si="36"/>
        <v>143577.55499999993</v>
      </c>
      <c r="R54" s="208">
        <f t="shared" si="36"/>
        <v>119907.80999999994</v>
      </c>
      <c r="S54" s="208">
        <f t="shared" si="36"/>
        <v>94017.54999999993</v>
      </c>
      <c r="T54" s="208">
        <f t="shared" si="36"/>
        <v>65623.304999999935</v>
      </c>
      <c r="U54" s="208">
        <f t="shared" si="36"/>
        <v>34394.359999999928</v>
      </c>
      <c r="W54" s="209">
        <f>SUM(B59:U59,B66:U66)</f>
        <v>236225.00000000003</v>
      </c>
      <c r="X54" s="210">
        <f>B54-W54</f>
        <v>0</v>
      </c>
    </row>
    <row r="55" spans="1:24">
      <c r="B55" s="211"/>
      <c r="C55" s="19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205"/>
      <c r="X55" s="205"/>
    </row>
    <row r="56" spans="1:24">
      <c r="A56" s="199"/>
      <c r="B56" s="201">
        <v>37072</v>
      </c>
      <c r="C56" s="201">
        <v>37437</v>
      </c>
      <c r="D56" s="201">
        <v>37802</v>
      </c>
      <c r="E56" s="201">
        <v>38168</v>
      </c>
      <c r="F56" s="201">
        <v>38533</v>
      </c>
      <c r="G56" s="201">
        <v>38898</v>
      </c>
      <c r="H56" s="201">
        <v>39263</v>
      </c>
      <c r="I56" s="201">
        <v>39629</v>
      </c>
      <c r="J56" s="201">
        <v>39994</v>
      </c>
      <c r="K56" s="201">
        <v>40359</v>
      </c>
      <c r="L56" s="201">
        <v>40724</v>
      </c>
      <c r="M56" s="201">
        <v>41090</v>
      </c>
      <c r="N56" s="201">
        <v>41455</v>
      </c>
      <c r="O56" s="201">
        <v>41820</v>
      </c>
      <c r="P56" s="201">
        <v>42185</v>
      </c>
      <c r="Q56" s="201">
        <v>42551</v>
      </c>
      <c r="R56" s="201">
        <v>42916</v>
      </c>
      <c r="S56" s="201">
        <v>43281</v>
      </c>
      <c r="T56" s="201">
        <v>43646</v>
      </c>
      <c r="U56" s="201">
        <v>44012</v>
      </c>
      <c r="W56" s="205"/>
      <c r="X56" s="205"/>
    </row>
    <row r="57" spans="1:24">
      <c r="A57" s="215" t="s">
        <v>70</v>
      </c>
      <c r="B57" s="204">
        <f>B54</f>
        <v>236225</v>
      </c>
      <c r="C57" s="204">
        <f>C54</f>
        <v>236225</v>
      </c>
      <c r="D57" s="204">
        <f t="shared" ref="D57:U57" si="37">D54</f>
        <v>236225</v>
      </c>
      <c r="E57" s="204">
        <f t="shared" si="37"/>
        <v>236225</v>
      </c>
      <c r="F57" s="204">
        <f t="shared" si="37"/>
        <v>236225</v>
      </c>
      <c r="G57" s="204">
        <f t="shared" si="37"/>
        <v>236225</v>
      </c>
      <c r="H57" s="204">
        <f t="shared" si="37"/>
        <v>236225</v>
      </c>
      <c r="I57" s="204">
        <f t="shared" si="37"/>
        <v>236225</v>
      </c>
      <c r="J57" s="204">
        <f t="shared" si="37"/>
        <v>236225</v>
      </c>
      <c r="K57" s="204">
        <f t="shared" si="37"/>
        <v>236225</v>
      </c>
      <c r="L57" s="204">
        <f t="shared" si="37"/>
        <v>236225</v>
      </c>
      <c r="M57" s="204">
        <f t="shared" si="37"/>
        <v>220397.92499999999</v>
      </c>
      <c r="N57" s="204">
        <f t="shared" si="37"/>
        <v>203389.72499999998</v>
      </c>
      <c r="O57" s="204">
        <f t="shared" si="37"/>
        <v>185058.66499999998</v>
      </c>
      <c r="P57" s="204">
        <f t="shared" si="37"/>
        <v>165168.51999999996</v>
      </c>
      <c r="Q57" s="204">
        <f t="shared" si="37"/>
        <v>143577.55499999993</v>
      </c>
      <c r="R57" s="204">
        <f t="shared" si="37"/>
        <v>119907.80999999994</v>
      </c>
      <c r="S57" s="204">
        <f t="shared" si="37"/>
        <v>94017.54999999993</v>
      </c>
      <c r="T57" s="204">
        <f t="shared" si="37"/>
        <v>65623.304999999935</v>
      </c>
      <c r="U57" s="204">
        <f t="shared" si="37"/>
        <v>34394.359999999928</v>
      </c>
      <c r="W57" s="205"/>
      <c r="X57" s="205"/>
    </row>
    <row r="58" spans="1:24">
      <c r="A58" s="203" t="s">
        <v>201</v>
      </c>
      <c r="B58" s="212">
        <v>0</v>
      </c>
      <c r="C58" s="212">
        <v>0</v>
      </c>
      <c r="D58" s="212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3.3500000000000002E-2</v>
      </c>
      <c r="M58" s="212">
        <v>3.5999999999999997E-2</v>
      </c>
      <c r="N58" s="212">
        <v>3.8800000000000001E-2</v>
      </c>
      <c r="O58" s="212">
        <v>4.2099999999999999E-2</v>
      </c>
      <c r="P58" s="212">
        <v>4.5699999999999998E-2</v>
      </c>
      <c r="Q58" s="212">
        <v>5.0099999999999999E-2</v>
      </c>
      <c r="R58" s="212">
        <v>5.4800000000000001E-2</v>
      </c>
      <c r="S58" s="212">
        <v>6.0100000000000001E-2</v>
      </c>
      <c r="T58" s="212">
        <v>6.6100000000000006E-2</v>
      </c>
      <c r="U58" s="212">
        <v>7.2800000000000004E-2</v>
      </c>
      <c r="W58" s="205"/>
      <c r="X58" s="205"/>
    </row>
    <row r="59" spans="1:24">
      <c r="A59" s="215" t="s">
        <v>71</v>
      </c>
      <c r="B59" s="204">
        <f>$B$54*B58</f>
        <v>0</v>
      </c>
      <c r="C59" s="204">
        <f t="shared" ref="C59:U59" si="38">$B$54*C58</f>
        <v>0</v>
      </c>
      <c r="D59" s="204">
        <f t="shared" si="38"/>
        <v>0</v>
      </c>
      <c r="E59" s="204">
        <f t="shared" si="38"/>
        <v>0</v>
      </c>
      <c r="F59" s="204">
        <f t="shared" si="38"/>
        <v>0</v>
      </c>
      <c r="G59" s="204">
        <f t="shared" si="38"/>
        <v>0</v>
      </c>
      <c r="H59" s="204">
        <f t="shared" si="38"/>
        <v>0</v>
      </c>
      <c r="I59" s="204">
        <f t="shared" si="38"/>
        <v>0</v>
      </c>
      <c r="J59" s="204">
        <f t="shared" si="38"/>
        <v>0</v>
      </c>
      <c r="K59" s="204">
        <f t="shared" si="38"/>
        <v>0</v>
      </c>
      <c r="L59" s="204">
        <f t="shared" si="38"/>
        <v>7913.5375000000004</v>
      </c>
      <c r="M59" s="204">
        <f t="shared" si="38"/>
        <v>8504.0999999999985</v>
      </c>
      <c r="N59" s="204">
        <f t="shared" si="38"/>
        <v>9165.5300000000007</v>
      </c>
      <c r="O59" s="204">
        <f t="shared" si="38"/>
        <v>9945.0725000000002</v>
      </c>
      <c r="P59" s="204">
        <f t="shared" si="38"/>
        <v>10795.4825</v>
      </c>
      <c r="Q59" s="204">
        <f t="shared" si="38"/>
        <v>11834.872499999999</v>
      </c>
      <c r="R59" s="204">
        <f t="shared" si="38"/>
        <v>12945.130000000001</v>
      </c>
      <c r="S59" s="204">
        <f t="shared" si="38"/>
        <v>14197.122499999999</v>
      </c>
      <c r="T59" s="204">
        <f t="shared" si="38"/>
        <v>15614.472500000002</v>
      </c>
      <c r="U59" s="204">
        <f t="shared" si="38"/>
        <v>17197.18</v>
      </c>
      <c r="W59" s="216"/>
      <c r="X59" s="216"/>
    </row>
    <row r="60" spans="1:24">
      <c r="A60" s="203" t="s">
        <v>72</v>
      </c>
      <c r="B60" s="207">
        <f t="shared" ref="B60:U60" si="39">B57*$O$97*(B56-B51)/365.25</f>
        <v>13038.455852156058</v>
      </c>
      <c r="C60" s="207">
        <f t="shared" si="39"/>
        <v>13038.455852156058</v>
      </c>
      <c r="D60" s="207">
        <f t="shared" si="39"/>
        <v>13038.455852156058</v>
      </c>
      <c r="E60" s="207">
        <f t="shared" si="39"/>
        <v>13110.891718001369</v>
      </c>
      <c r="F60" s="207">
        <f t="shared" si="39"/>
        <v>13038.455852156058</v>
      </c>
      <c r="G60" s="207">
        <f t="shared" si="39"/>
        <v>13038.455852156058</v>
      </c>
      <c r="H60" s="207">
        <f t="shared" si="39"/>
        <v>13038.455852156058</v>
      </c>
      <c r="I60" s="207">
        <f t="shared" si="39"/>
        <v>13110.891718001369</v>
      </c>
      <c r="J60" s="207">
        <f t="shared" si="39"/>
        <v>13038.455852156058</v>
      </c>
      <c r="K60" s="207">
        <f t="shared" si="39"/>
        <v>13038.455852156058</v>
      </c>
      <c r="L60" s="207">
        <f t="shared" si="39"/>
        <v>13038.455852156058</v>
      </c>
      <c r="M60" s="207">
        <f t="shared" si="39"/>
        <v>12232.461972895275</v>
      </c>
      <c r="N60" s="207">
        <f t="shared" si="39"/>
        <v>11226.110488706363</v>
      </c>
      <c r="O60" s="207">
        <f t="shared" si="39"/>
        <v>10214.326314579053</v>
      </c>
      <c r="P60" s="207">
        <f t="shared" si="39"/>
        <v>9116.4883318275133</v>
      </c>
      <c r="Q60" s="207">
        <f t="shared" si="39"/>
        <v>7968.7999862012293</v>
      </c>
      <c r="R60" s="207">
        <f t="shared" si="39"/>
        <v>6618.320190554412</v>
      </c>
      <c r="S60" s="207">
        <f t="shared" si="39"/>
        <v>5189.3054291581066</v>
      </c>
      <c r="T60" s="207">
        <f t="shared" si="39"/>
        <v>3622.0830357289492</v>
      </c>
      <c r="U60" s="207">
        <f t="shared" si="39"/>
        <v>1908.9458341409954</v>
      </c>
      <c r="W60" s="216"/>
      <c r="X60" s="216"/>
    </row>
    <row r="61" spans="1:24">
      <c r="A61" s="203" t="s">
        <v>73</v>
      </c>
      <c r="B61" s="208">
        <f>B57-B59</f>
        <v>236225</v>
      </c>
      <c r="C61" s="208">
        <f t="shared" ref="C61:U61" si="40">C57-C59</f>
        <v>236225</v>
      </c>
      <c r="D61" s="208">
        <f t="shared" si="40"/>
        <v>236225</v>
      </c>
      <c r="E61" s="208">
        <f t="shared" si="40"/>
        <v>236225</v>
      </c>
      <c r="F61" s="208">
        <f t="shared" si="40"/>
        <v>236225</v>
      </c>
      <c r="G61" s="208">
        <f t="shared" si="40"/>
        <v>236225</v>
      </c>
      <c r="H61" s="208">
        <f t="shared" si="40"/>
        <v>236225</v>
      </c>
      <c r="I61" s="208">
        <f t="shared" si="40"/>
        <v>236225</v>
      </c>
      <c r="J61" s="208">
        <f t="shared" si="40"/>
        <v>236225</v>
      </c>
      <c r="K61" s="208">
        <f t="shared" si="40"/>
        <v>236225</v>
      </c>
      <c r="L61" s="208">
        <f t="shared" si="40"/>
        <v>228311.46249999999</v>
      </c>
      <c r="M61" s="208">
        <f t="shared" si="40"/>
        <v>211893.82499999998</v>
      </c>
      <c r="N61" s="208">
        <f t="shared" si="40"/>
        <v>194224.19499999998</v>
      </c>
      <c r="O61" s="208">
        <f t="shared" si="40"/>
        <v>175113.59249999997</v>
      </c>
      <c r="P61" s="208">
        <f t="shared" si="40"/>
        <v>154373.03749999995</v>
      </c>
      <c r="Q61" s="208">
        <f t="shared" si="40"/>
        <v>131742.68249999994</v>
      </c>
      <c r="R61" s="208">
        <f t="shared" si="40"/>
        <v>106962.67999999993</v>
      </c>
      <c r="S61" s="208">
        <f t="shared" si="40"/>
        <v>79820.427499999932</v>
      </c>
      <c r="T61" s="208">
        <f t="shared" si="40"/>
        <v>50008.832499999931</v>
      </c>
      <c r="U61" s="208">
        <f t="shared" si="40"/>
        <v>17197.179999999928</v>
      </c>
      <c r="W61" s="216"/>
      <c r="X61" s="216"/>
    </row>
    <row r="62" spans="1:24">
      <c r="A62" s="203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W62" s="216"/>
      <c r="X62" s="216"/>
    </row>
    <row r="63" spans="1:24">
      <c r="A63" s="178"/>
      <c r="B63" s="201">
        <v>37256</v>
      </c>
      <c r="C63" s="201">
        <v>37621</v>
      </c>
      <c r="D63" s="201">
        <v>37986</v>
      </c>
      <c r="E63" s="201">
        <v>38352</v>
      </c>
      <c r="F63" s="201">
        <v>38717</v>
      </c>
      <c r="G63" s="201">
        <v>39082</v>
      </c>
      <c r="H63" s="201">
        <v>39447</v>
      </c>
      <c r="I63" s="201">
        <v>39813</v>
      </c>
      <c r="J63" s="201">
        <v>40178</v>
      </c>
      <c r="K63" s="201">
        <v>40543</v>
      </c>
      <c r="L63" s="201">
        <v>40908</v>
      </c>
      <c r="M63" s="201">
        <v>41274</v>
      </c>
      <c r="N63" s="201">
        <v>41639</v>
      </c>
      <c r="O63" s="201">
        <v>42004</v>
      </c>
      <c r="P63" s="201">
        <v>42369</v>
      </c>
      <c r="Q63" s="201">
        <v>42735</v>
      </c>
      <c r="R63" s="201">
        <v>43100</v>
      </c>
      <c r="S63" s="201">
        <v>43465</v>
      </c>
      <c r="T63" s="201">
        <v>43830</v>
      </c>
      <c r="U63" s="201">
        <v>44196</v>
      </c>
      <c r="W63" s="216"/>
      <c r="X63" s="216"/>
    </row>
    <row r="64" spans="1:24">
      <c r="A64" s="203" t="s">
        <v>70</v>
      </c>
      <c r="B64" s="204">
        <f>B61</f>
        <v>236225</v>
      </c>
      <c r="C64" s="204">
        <f t="shared" ref="C64:U64" si="41">C61</f>
        <v>236225</v>
      </c>
      <c r="D64" s="204">
        <f t="shared" si="41"/>
        <v>236225</v>
      </c>
      <c r="E64" s="204">
        <f t="shared" si="41"/>
        <v>236225</v>
      </c>
      <c r="F64" s="204">
        <f t="shared" si="41"/>
        <v>236225</v>
      </c>
      <c r="G64" s="204">
        <f t="shared" si="41"/>
        <v>236225</v>
      </c>
      <c r="H64" s="204">
        <f t="shared" si="41"/>
        <v>236225</v>
      </c>
      <c r="I64" s="204">
        <f t="shared" si="41"/>
        <v>236225</v>
      </c>
      <c r="J64" s="204">
        <f t="shared" si="41"/>
        <v>236225</v>
      </c>
      <c r="K64" s="204">
        <f t="shared" si="41"/>
        <v>236225</v>
      </c>
      <c r="L64" s="204">
        <f t="shared" si="41"/>
        <v>228311.46249999999</v>
      </c>
      <c r="M64" s="204">
        <f t="shared" si="41"/>
        <v>211893.82499999998</v>
      </c>
      <c r="N64" s="204">
        <f t="shared" si="41"/>
        <v>194224.19499999998</v>
      </c>
      <c r="O64" s="204">
        <f t="shared" si="41"/>
        <v>175113.59249999997</v>
      </c>
      <c r="P64" s="204">
        <f t="shared" si="41"/>
        <v>154373.03749999995</v>
      </c>
      <c r="Q64" s="204">
        <f t="shared" si="41"/>
        <v>131742.68249999994</v>
      </c>
      <c r="R64" s="204">
        <f t="shared" si="41"/>
        <v>106962.67999999993</v>
      </c>
      <c r="S64" s="204">
        <f t="shared" si="41"/>
        <v>79820.427499999932</v>
      </c>
      <c r="T64" s="204">
        <f t="shared" si="41"/>
        <v>50008.832499999931</v>
      </c>
      <c r="U64" s="204">
        <f t="shared" si="41"/>
        <v>17197.179999999928</v>
      </c>
      <c r="W64" s="216"/>
      <c r="X64" s="216"/>
    </row>
    <row r="65" spans="1:24">
      <c r="A65" s="203" t="s">
        <v>201</v>
      </c>
      <c r="B65" s="212">
        <v>0</v>
      </c>
      <c r="C65" s="212">
        <v>0</v>
      </c>
      <c r="D65" s="212">
        <v>0</v>
      </c>
      <c r="E65" s="212">
        <v>0</v>
      </c>
      <c r="F65" s="212">
        <v>0</v>
      </c>
      <c r="G65" s="212">
        <v>0</v>
      </c>
      <c r="H65" s="212">
        <v>0</v>
      </c>
      <c r="I65" s="212">
        <v>0</v>
      </c>
      <c r="J65" s="212">
        <v>0</v>
      </c>
      <c r="K65" s="212">
        <v>0</v>
      </c>
      <c r="L65" s="212">
        <f>L58</f>
        <v>3.3500000000000002E-2</v>
      </c>
      <c r="M65" s="212">
        <f t="shared" ref="M65:U65" si="42">M58</f>
        <v>3.5999999999999997E-2</v>
      </c>
      <c r="N65" s="212">
        <f t="shared" si="42"/>
        <v>3.8800000000000001E-2</v>
      </c>
      <c r="O65" s="212">
        <f t="shared" si="42"/>
        <v>4.2099999999999999E-2</v>
      </c>
      <c r="P65" s="212">
        <f t="shared" si="42"/>
        <v>4.5699999999999998E-2</v>
      </c>
      <c r="Q65" s="212">
        <f t="shared" si="42"/>
        <v>5.0099999999999999E-2</v>
      </c>
      <c r="R65" s="212">
        <f t="shared" si="42"/>
        <v>5.4800000000000001E-2</v>
      </c>
      <c r="S65" s="212">
        <f t="shared" si="42"/>
        <v>6.0100000000000001E-2</v>
      </c>
      <c r="T65" s="212">
        <f t="shared" si="42"/>
        <v>6.6100000000000006E-2</v>
      </c>
      <c r="U65" s="212">
        <f t="shared" si="42"/>
        <v>7.2800000000000004E-2</v>
      </c>
      <c r="W65" s="205"/>
      <c r="X65" s="205"/>
    </row>
    <row r="66" spans="1:24">
      <c r="A66" s="215" t="s">
        <v>71</v>
      </c>
      <c r="B66" s="204">
        <f>B65*$B$54</f>
        <v>0</v>
      </c>
      <c r="C66" s="204">
        <f t="shared" ref="C66:U66" si="43">C65*$B$54</f>
        <v>0</v>
      </c>
      <c r="D66" s="204">
        <f t="shared" si="43"/>
        <v>0</v>
      </c>
      <c r="E66" s="204">
        <f t="shared" si="43"/>
        <v>0</v>
      </c>
      <c r="F66" s="204">
        <f t="shared" si="43"/>
        <v>0</v>
      </c>
      <c r="G66" s="204">
        <f t="shared" si="43"/>
        <v>0</v>
      </c>
      <c r="H66" s="204">
        <f t="shared" si="43"/>
        <v>0</v>
      </c>
      <c r="I66" s="204">
        <f t="shared" si="43"/>
        <v>0</v>
      </c>
      <c r="J66" s="204">
        <f t="shared" si="43"/>
        <v>0</v>
      </c>
      <c r="K66" s="204">
        <f t="shared" si="43"/>
        <v>0</v>
      </c>
      <c r="L66" s="204">
        <f t="shared" si="43"/>
        <v>7913.5375000000004</v>
      </c>
      <c r="M66" s="204">
        <f t="shared" si="43"/>
        <v>8504.0999999999985</v>
      </c>
      <c r="N66" s="204">
        <f t="shared" si="43"/>
        <v>9165.5300000000007</v>
      </c>
      <c r="O66" s="204">
        <f t="shared" si="43"/>
        <v>9945.0725000000002</v>
      </c>
      <c r="P66" s="204">
        <f t="shared" si="43"/>
        <v>10795.4825</v>
      </c>
      <c r="Q66" s="204">
        <f t="shared" si="43"/>
        <v>11834.872499999999</v>
      </c>
      <c r="R66" s="204">
        <f t="shared" si="43"/>
        <v>12945.130000000001</v>
      </c>
      <c r="S66" s="204">
        <f t="shared" si="43"/>
        <v>14197.122499999999</v>
      </c>
      <c r="T66" s="204">
        <f t="shared" si="43"/>
        <v>15614.472500000002</v>
      </c>
      <c r="U66" s="204">
        <f t="shared" si="43"/>
        <v>17197.18</v>
      </c>
      <c r="W66" s="216"/>
      <c r="X66" s="216"/>
    </row>
    <row r="67" spans="1:24">
      <c r="A67" s="203" t="s">
        <v>72</v>
      </c>
      <c r="B67" s="207">
        <f>B64*$O$97*(B63-B56)/365.25</f>
        <v>13328.199315537302</v>
      </c>
      <c r="C67" s="207">
        <f t="shared" ref="C67:U67" si="44">C64*$O$97*(C63-C56)/365.25</f>
        <v>13328.199315537302</v>
      </c>
      <c r="D67" s="207">
        <f t="shared" si="44"/>
        <v>13328.199315537302</v>
      </c>
      <c r="E67" s="207">
        <f t="shared" si="44"/>
        <v>13328.199315537302</v>
      </c>
      <c r="F67" s="207">
        <f t="shared" si="44"/>
        <v>13328.199315537302</v>
      </c>
      <c r="G67" s="207">
        <f t="shared" si="44"/>
        <v>13328.199315537302</v>
      </c>
      <c r="H67" s="207">
        <f t="shared" si="44"/>
        <v>13328.199315537302</v>
      </c>
      <c r="I67" s="207">
        <f t="shared" si="44"/>
        <v>13328.199315537302</v>
      </c>
      <c r="J67" s="207">
        <f t="shared" si="44"/>
        <v>13328.199315537302</v>
      </c>
      <c r="K67" s="207">
        <f t="shared" si="44"/>
        <v>13328.199315537302</v>
      </c>
      <c r="L67" s="207">
        <f t="shared" si="44"/>
        <v>12881.704638466803</v>
      </c>
      <c r="M67" s="207">
        <f t="shared" si="44"/>
        <v>11955.394786036959</v>
      </c>
      <c r="N67" s="207">
        <f t="shared" si="44"/>
        <v>10958.445477234769</v>
      </c>
      <c r="O67" s="207">
        <f t="shared" si="44"/>
        <v>9880.1941526078008</v>
      </c>
      <c r="P67" s="207">
        <f t="shared" si="44"/>
        <v>8709.9782527036241</v>
      </c>
      <c r="Q67" s="207">
        <f t="shared" si="44"/>
        <v>7433.13675827515</v>
      </c>
      <c r="R67" s="207">
        <f t="shared" si="44"/>
        <v>6035.0086500752877</v>
      </c>
      <c r="S67" s="207">
        <f t="shared" si="44"/>
        <v>4503.5985487200514</v>
      </c>
      <c r="T67" s="207">
        <f t="shared" si="44"/>
        <v>2821.5797950992433</v>
      </c>
      <c r="U67" s="207">
        <f t="shared" si="44"/>
        <v>970.29291017111154</v>
      </c>
      <c r="W67" s="216"/>
      <c r="X67" s="216"/>
    </row>
    <row r="68" spans="1:24">
      <c r="A68" s="203" t="s">
        <v>73</v>
      </c>
      <c r="B68" s="208">
        <f>B64-B66</f>
        <v>236225</v>
      </c>
      <c r="C68" s="208">
        <f t="shared" ref="C68:U68" si="45">C64-C66</f>
        <v>236225</v>
      </c>
      <c r="D68" s="208">
        <f t="shared" si="45"/>
        <v>236225</v>
      </c>
      <c r="E68" s="208">
        <f t="shared" si="45"/>
        <v>236225</v>
      </c>
      <c r="F68" s="208">
        <f t="shared" si="45"/>
        <v>236225</v>
      </c>
      <c r="G68" s="208">
        <f t="shared" si="45"/>
        <v>236225</v>
      </c>
      <c r="H68" s="208">
        <f t="shared" si="45"/>
        <v>236225</v>
      </c>
      <c r="I68" s="208">
        <f t="shared" si="45"/>
        <v>236225</v>
      </c>
      <c r="J68" s="208">
        <f t="shared" si="45"/>
        <v>236225</v>
      </c>
      <c r="K68" s="208">
        <f t="shared" si="45"/>
        <v>236225</v>
      </c>
      <c r="L68" s="208">
        <f t="shared" si="45"/>
        <v>220397.92499999999</v>
      </c>
      <c r="M68" s="208">
        <f t="shared" si="45"/>
        <v>203389.72499999998</v>
      </c>
      <c r="N68" s="208">
        <f t="shared" si="45"/>
        <v>185058.66499999998</v>
      </c>
      <c r="O68" s="208">
        <f t="shared" si="45"/>
        <v>165168.51999999996</v>
      </c>
      <c r="P68" s="208">
        <f t="shared" si="45"/>
        <v>143577.55499999993</v>
      </c>
      <c r="Q68" s="208">
        <f t="shared" si="45"/>
        <v>119907.80999999994</v>
      </c>
      <c r="R68" s="208">
        <f t="shared" si="45"/>
        <v>94017.54999999993</v>
      </c>
      <c r="S68" s="208">
        <f t="shared" si="45"/>
        <v>65623.304999999935</v>
      </c>
      <c r="T68" s="208">
        <f t="shared" si="45"/>
        <v>34394.359999999928</v>
      </c>
      <c r="U68" s="208">
        <f t="shared" si="45"/>
        <v>-7.2759576141834259E-11</v>
      </c>
      <c r="W68" s="216"/>
      <c r="X68" s="216"/>
    </row>
    <row r="69" spans="1:24">
      <c r="A69" s="203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</row>
    <row r="70" spans="1:24">
      <c r="A70" s="217" t="s">
        <v>188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8"/>
      <c r="W70" s="218"/>
      <c r="X70" s="218"/>
    </row>
    <row r="71" spans="1:24">
      <c r="A71" s="217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8"/>
      <c r="W71" s="218"/>
      <c r="X71" s="218"/>
    </row>
    <row r="72" spans="1:24">
      <c r="A72" s="203" t="s">
        <v>70</v>
      </c>
      <c r="B72" s="214">
        <f>B54+B34+B14</f>
        <v>349156</v>
      </c>
      <c r="C72" s="214">
        <f>C52+C32+C12</f>
        <v>342244.62280000001</v>
      </c>
      <c r="D72" s="214">
        <f t="shared" ref="D72:U72" si="46">D52+D32+D12</f>
        <v>334407.21140000003</v>
      </c>
      <c r="E72" s="214">
        <f t="shared" si="46"/>
        <v>325463.07620000001</v>
      </c>
      <c r="F72" s="214">
        <f t="shared" si="46"/>
        <v>315118.59660000005</v>
      </c>
      <c r="G72" s="214">
        <f t="shared" si="46"/>
        <v>303147.91060000006</v>
      </c>
      <c r="H72" s="214">
        <f t="shared" si="46"/>
        <v>290906.19020000001</v>
      </c>
      <c r="I72" s="214">
        <f t="shared" si="46"/>
        <v>278235.33200000005</v>
      </c>
      <c r="J72" s="214">
        <f t="shared" si="46"/>
        <v>265022.40500000003</v>
      </c>
      <c r="K72" s="214">
        <f t="shared" si="46"/>
        <v>251064.13340000002</v>
      </c>
      <c r="L72" s="214">
        <f t="shared" si="46"/>
        <v>236225.00000000003</v>
      </c>
      <c r="M72" s="214">
        <f t="shared" si="46"/>
        <v>220397.92500000002</v>
      </c>
      <c r="N72" s="214">
        <f t="shared" si="46"/>
        <v>203389.72500000001</v>
      </c>
      <c r="O72" s="214">
        <f t="shared" si="46"/>
        <v>185058.66500000001</v>
      </c>
      <c r="P72" s="214">
        <f t="shared" si="46"/>
        <v>165168.51999999999</v>
      </c>
      <c r="Q72" s="214">
        <f t="shared" si="46"/>
        <v>143577.55499999996</v>
      </c>
      <c r="R72" s="214">
        <f t="shared" si="46"/>
        <v>119907.80999999997</v>
      </c>
      <c r="S72" s="214">
        <f t="shared" si="46"/>
        <v>94017.549999999959</v>
      </c>
      <c r="T72" s="214">
        <f t="shared" si="46"/>
        <v>65623.304999999964</v>
      </c>
      <c r="U72" s="214">
        <f t="shared" si="46"/>
        <v>34394.359999999957</v>
      </c>
      <c r="V72" s="218"/>
      <c r="W72" s="218"/>
      <c r="X72" s="218"/>
    </row>
    <row r="73" spans="1:24">
      <c r="A73" s="203" t="s">
        <v>73</v>
      </c>
      <c r="B73" s="214">
        <f t="shared" ref="B73:U73" si="47">B68+B48+B28</f>
        <v>342244.62280000001</v>
      </c>
      <c r="C73" s="214">
        <f t="shared" si="47"/>
        <v>334407.21140000003</v>
      </c>
      <c r="D73" s="214">
        <f t="shared" si="47"/>
        <v>325463.07620000001</v>
      </c>
      <c r="E73" s="214">
        <f t="shared" si="47"/>
        <v>315118.59660000005</v>
      </c>
      <c r="F73" s="214">
        <f t="shared" si="47"/>
        <v>303147.91060000006</v>
      </c>
      <c r="G73" s="214">
        <f t="shared" si="47"/>
        <v>290906.19020000001</v>
      </c>
      <c r="H73" s="214">
        <f t="shared" si="47"/>
        <v>278235.33200000005</v>
      </c>
      <c r="I73" s="214">
        <f t="shared" si="47"/>
        <v>265022.40500000003</v>
      </c>
      <c r="J73" s="214">
        <f t="shared" si="47"/>
        <v>251064.13340000002</v>
      </c>
      <c r="K73" s="214">
        <f t="shared" si="47"/>
        <v>236225.00000000003</v>
      </c>
      <c r="L73" s="214">
        <f t="shared" si="47"/>
        <v>220397.92500000002</v>
      </c>
      <c r="M73" s="214">
        <f t="shared" si="47"/>
        <v>203389.72500000001</v>
      </c>
      <c r="N73" s="214">
        <f t="shared" si="47"/>
        <v>185058.66500000001</v>
      </c>
      <c r="O73" s="214">
        <f t="shared" si="47"/>
        <v>165168.51999999999</v>
      </c>
      <c r="P73" s="214">
        <f t="shared" si="47"/>
        <v>143577.55499999996</v>
      </c>
      <c r="Q73" s="214">
        <f t="shared" si="47"/>
        <v>119907.80999999997</v>
      </c>
      <c r="R73" s="214">
        <f t="shared" si="47"/>
        <v>94017.549999999959</v>
      </c>
      <c r="S73" s="214">
        <f t="shared" si="47"/>
        <v>65623.304999999964</v>
      </c>
      <c r="T73" s="214">
        <f t="shared" si="47"/>
        <v>34394.359999999957</v>
      </c>
      <c r="U73" s="214">
        <f t="shared" si="47"/>
        <v>-4.7293724492192268E-11</v>
      </c>
      <c r="V73" s="218"/>
      <c r="W73" s="218"/>
      <c r="X73" s="218"/>
    </row>
    <row r="74" spans="1:24">
      <c r="A74" s="203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8"/>
      <c r="W74" s="218"/>
      <c r="X74" s="218"/>
    </row>
    <row r="75" spans="1:24">
      <c r="A75" s="203" t="s">
        <v>109</v>
      </c>
      <c r="B75" s="214">
        <f t="shared" ref="B75:U75" si="48">SUM(B66,B59,B46,B39,B26,B19)</f>
        <v>6911.3771999999999</v>
      </c>
      <c r="C75" s="214">
        <f t="shared" si="48"/>
        <v>7837.4114</v>
      </c>
      <c r="D75" s="214">
        <f t="shared" si="48"/>
        <v>8944.1352000000006</v>
      </c>
      <c r="E75" s="214">
        <f t="shared" si="48"/>
        <v>10344.479600000001</v>
      </c>
      <c r="F75" s="214">
        <f t="shared" si="48"/>
        <v>11970.686</v>
      </c>
      <c r="G75" s="214">
        <f t="shared" si="48"/>
        <v>12241.7204</v>
      </c>
      <c r="H75" s="214">
        <f t="shared" si="48"/>
        <v>12670.858199999999</v>
      </c>
      <c r="I75" s="214">
        <f t="shared" si="48"/>
        <v>13212.927000000001</v>
      </c>
      <c r="J75" s="214">
        <f t="shared" si="48"/>
        <v>13958.2716</v>
      </c>
      <c r="K75" s="214">
        <f t="shared" si="48"/>
        <v>14839.133399999999</v>
      </c>
      <c r="L75" s="214">
        <f t="shared" si="48"/>
        <v>15827.075000000001</v>
      </c>
      <c r="M75" s="214">
        <f t="shared" si="48"/>
        <v>17008.199999999997</v>
      </c>
      <c r="N75" s="214">
        <f t="shared" si="48"/>
        <v>18331.060000000001</v>
      </c>
      <c r="O75" s="214">
        <f t="shared" si="48"/>
        <v>19890.145</v>
      </c>
      <c r="P75" s="214">
        <f t="shared" si="48"/>
        <v>21590.965</v>
      </c>
      <c r="Q75" s="214">
        <f t="shared" si="48"/>
        <v>23669.744999999999</v>
      </c>
      <c r="R75" s="214">
        <f t="shared" si="48"/>
        <v>25890.260000000002</v>
      </c>
      <c r="S75" s="214">
        <f t="shared" si="48"/>
        <v>28394.244999999999</v>
      </c>
      <c r="T75" s="214">
        <f t="shared" si="48"/>
        <v>31228.945000000003</v>
      </c>
      <c r="U75" s="214">
        <f t="shared" si="48"/>
        <v>34394.36</v>
      </c>
      <c r="V75" s="218"/>
      <c r="W75" s="218"/>
      <c r="X75" s="218"/>
    </row>
    <row r="76" spans="1:24">
      <c r="A76" s="219" t="s">
        <v>59</v>
      </c>
      <c r="B76" s="220">
        <f t="shared" ref="B76:U76" si="49">SUM(B13,B20,B33,B40,B53,B60,B67,B47,B27)</f>
        <v>38555.057913034907</v>
      </c>
      <c r="C76" s="220">
        <f t="shared" si="49"/>
        <v>37876.115679813825</v>
      </c>
      <c r="D76" s="220">
        <f t="shared" si="49"/>
        <v>36983.9264599206</v>
      </c>
      <c r="E76" s="220">
        <f t="shared" si="49"/>
        <v>36061.256712553048</v>
      </c>
      <c r="F76" s="220">
        <f t="shared" si="49"/>
        <v>34779.774294784394</v>
      </c>
      <c r="G76" s="220">
        <f t="shared" si="49"/>
        <v>33456.390554803562</v>
      </c>
      <c r="H76" s="220">
        <f t="shared" si="49"/>
        <v>32098.832858442162</v>
      </c>
      <c r="I76" s="220">
        <f t="shared" si="49"/>
        <v>30776.06117749487</v>
      </c>
      <c r="J76" s="220">
        <f t="shared" si="49"/>
        <v>29217.894872438061</v>
      </c>
      <c r="K76" s="220">
        <f t="shared" si="49"/>
        <v>27659.129845316904</v>
      </c>
      <c r="L76" s="220">
        <f t="shared" si="49"/>
        <v>25992.596356468173</v>
      </c>
      <c r="M76" s="220">
        <f t="shared" si="49"/>
        <v>24255.43942176591</v>
      </c>
      <c r="N76" s="220">
        <f t="shared" si="49"/>
        <v>22246.923246433944</v>
      </c>
      <c r="O76" s="220">
        <f t="shared" si="49"/>
        <v>20151.266724490073</v>
      </c>
      <c r="P76" s="220">
        <f t="shared" si="49"/>
        <v>17877.113741930181</v>
      </c>
      <c r="Q76" s="220">
        <f t="shared" si="49"/>
        <v>15445.963263737163</v>
      </c>
      <c r="R76" s="220">
        <f t="shared" si="49"/>
        <v>12690.097286132783</v>
      </c>
      <c r="S76" s="220">
        <f t="shared" si="49"/>
        <v>9721.7334524845955</v>
      </c>
      <c r="T76" s="220">
        <f t="shared" si="49"/>
        <v>6463.7855143600227</v>
      </c>
      <c r="U76" s="220">
        <f t="shared" si="49"/>
        <v>2889.785406379187</v>
      </c>
      <c r="V76" s="218"/>
      <c r="W76" s="218"/>
      <c r="X76" s="218"/>
    </row>
    <row r="77" spans="1:24">
      <c r="A77" s="218" t="s">
        <v>74</v>
      </c>
      <c r="B77" s="218">
        <f t="shared" ref="B77:U77" si="50">SUM(B75:B76)</f>
        <v>45466.43511303491</v>
      </c>
      <c r="C77" s="218">
        <f t="shared" si="50"/>
        <v>45713.527079813823</v>
      </c>
      <c r="D77" s="218">
        <f t="shared" si="50"/>
        <v>45928.061659920597</v>
      </c>
      <c r="E77" s="218">
        <f t="shared" si="50"/>
        <v>46405.736312553046</v>
      </c>
      <c r="F77" s="218">
        <f t="shared" si="50"/>
        <v>46750.460294784396</v>
      </c>
      <c r="G77" s="218">
        <f t="shared" si="50"/>
        <v>45698.11095480356</v>
      </c>
      <c r="H77" s="218">
        <f t="shared" si="50"/>
        <v>44769.691058442157</v>
      </c>
      <c r="I77" s="218">
        <f t="shared" si="50"/>
        <v>43988.988177494874</v>
      </c>
      <c r="J77" s="218">
        <f t="shared" si="50"/>
        <v>43176.166472438061</v>
      </c>
      <c r="K77" s="218">
        <f t="shared" si="50"/>
        <v>42498.263245316906</v>
      </c>
      <c r="L77" s="218">
        <f t="shared" si="50"/>
        <v>41819.67135646817</v>
      </c>
      <c r="M77" s="218">
        <f t="shared" si="50"/>
        <v>41263.639421765911</v>
      </c>
      <c r="N77" s="218">
        <f t="shared" si="50"/>
        <v>40577.983246433942</v>
      </c>
      <c r="O77" s="218">
        <f t="shared" si="50"/>
        <v>40041.41172449007</v>
      </c>
      <c r="P77" s="218">
        <f t="shared" si="50"/>
        <v>39468.078741930178</v>
      </c>
      <c r="Q77" s="218">
        <f t="shared" si="50"/>
        <v>39115.708263737164</v>
      </c>
      <c r="R77" s="218">
        <f t="shared" si="50"/>
        <v>38580.357286132785</v>
      </c>
      <c r="S77" s="218">
        <f t="shared" si="50"/>
        <v>38115.978452484596</v>
      </c>
      <c r="T77" s="218">
        <f t="shared" si="50"/>
        <v>37692.730514360024</v>
      </c>
      <c r="U77" s="218">
        <f t="shared" si="50"/>
        <v>37284.14540637919</v>
      </c>
      <c r="V77" s="218"/>
      <c r="W77" s="218"/>
      <c r="X77" s="218"/>
    </row>
    <row r="78" spans="1:24" ht="13.5" thickBot="1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</row>
    <row r="79" spans="1:24" ht="13.5" thickBot="1">
      <c r="A79" s="221" t="s">
        <v>110</v>
      </c>
      <c r="B79" s="222">
        <f>IF(B77&gt;0.1,B8/B77," ")</f>
        <v>2.2564542275081805</v>
      </c>
      <c r="C79" s="222">
        <f>IF(C77&gt;0.1,C8/C77," ")</f>
        <v>2.3558932264296675</v>
      </c>
      <c r="D79" s="222">
        <f>IF(D77&gt;0.1,D8/D77," ")</f>
        <v>2.4619270111692804</v>
      </c>
      <c r="E79" s="222">
        <f>IF(E77&gt;0.1,E8/E77," ")</f>
        <v>2.560784537025766</v>
      </c>
      <c r="F79" s="222">
        <f t="shared" ref="F79:U79" si="51">IF(F77&gt;0.1,F8/F77," ")</f>
        <v>2.6720996956571126</v>
      </c>
      <c r="G79" s="222">
        <f t="shared" si="51"/>
        <v>2.7770167707355147</v>
      </c>
      <c r="H79" s="222">
        <f t="shared" si="51"/>
        <v>2.8808643703445171</v>
      </c>
      <c r="I79" s="222">
        <f t="shared" si="51"/>
        <v>2.9813424640966373</v>
      </c>
      <c r="J79" s="222">
        <f t="shared" si="51"/>
        <v>3.0910098456982711</v>
      </c>
      <c r="K79" s="222">
        <f t="shared" si="51"/>
        <v>3.1975181859516084</v>
      </c>
      <c r="L79" s="222">
        <f t="shared" si="51"/>
        <v>3.3009106056862749</v>
      </c>
      <c r="M79" s="222">
        <f t="shared" si="51"/>
        <v>3.4023172700086026</v>
      </c>
      <c r="N79" s="222">
        <f t="shared" si="51"/>
        <v>3.5099379183489359</v>
      </c>
      <c r="O79" s="222">
        <f t="shared" si="51"/>
        <v>3.6175756016877672</v>
      </c>
      <c r="P79" s="222">
        <f t="shared" si="51"/>
        <v>3.7214283857356274</v>
      </c>
      <c r="Q79" s="222">
        <f t="shared" si="51"/>
        <v>3.8237504723945301</v>
      </c>
      <c r="R79" s="222">
        <f t="shared" si="51"/>
        <v>3.9320592332534701</v>
      </c>
      <c r="S79" s="222">
        <f t="shared" si="51"/>
        <v>4.0365976443558482</v>
      </c>
      <c r="T79" s="222">
        <f t="shared" si="51"/>
        <v>4.1399185288751861</v>
      </c>
      <c r="U79" s="223">
        <f t="shared" si="51"/>
        <v>4.2446571184323121</v>
      </c>
      <c r="V79" s="198"/>
      <c r="W79" s="198"/>
      <c r="X79" s="198"/>
    </row>
    <row r="80" spans="1:24">
      <c r="A80" s="224"/>
      <c r="B80" s="225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198"/>
      <c r="W80" s="198"/>
      <c r="X80" s="198"/>
    </row>
    <row r="81" spans="1:24">
      <c r="A81" s="224"/>
      <c r="B81" s="227"/>
      <c r="C81" s="227"/>
      <c r="D81" s="227"/>
      <c r="E81"/>
      <c r="F81"/>
      <c r="G81"/>
      <c r="H81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198"/>
      <c r="W81" s="198"/>
      <c r="X81" s="198"/>
    </row>
    <row r="82" spans="1:24">
      <c r="A82" s="224"/>
      <c r="B82" s="413" t="s">
        <v>0</v>
      </c>
      <c r="C82" s="414"/>
      <c r="D82" s="415"/>
      <c r="E82"/>
      <c r="F82"/>
      <c r="G82"/>
      <c r="H82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198"/>
      <c r="W82" s="198"/>
      <c r="X82" s="198"/>
    </row>
    <row r="83" spans="1:24">
      <c r="A83" s="224"/>
      <c r="B83" s="228" t="s">
        <v>213</v>
      </c>
      <c r="C83" s="229"/>
      <c r="D83" s="230"/>
      <c r="E83"/>
      <c r="F83"/>
      <c r="G83"/>
      <c r="H83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198"/>
      <c r="W83" s="198"/>
      <c r="X83" s="198"/>
    </row>
    <row r="84" spans="1:24">
      <c r="A84" s="224"/>
      <c r="B84" s="231" t="s">
        <v>115</v>
      </c>
      <c r="C84" s="14"/>
      <c r="D84" s="232">
        <f>MIN(B79:U79)</f>
        <v>2.2564542275081805</v>
      </c>
      <c r="E84"/>
      <c r="F84"/>
      <c r="G84"/>
      <c r="H84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198"/>
      <c r="W84" s="198"/>
      <c r="X84" s="198"/>
    </row>
    <row r="85" spans="1:24">
      <c r="A85" s="224"/>
      <c r="B85" s="233" t="s">
        <v>114</v>
      </c>
      <c r="C85" s="234"/>
      <c r="D85" s="235">
        <f>AVERAGE(B79:U79)</f>
        <v>3.2482031556697555</v>
      </c>
      <c r="E85"/>
      <c r="F85"/>
      <c r="G85"/>
      <c r="H85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198"/>
      <c r="W85" s="198"/>
      <c r="X85" s="198"/>
    </row>
    <row r="86" spans="1:24">
      <c r="A86" s="224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198"/>
      <c r="W86" s="198"/>
      <c r="X86" s="198"/>
    </row>
    <row r="87" spans="1:24">
      <c r="A87" s="224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198"/>
      <c r="W87" s="198"/>
      <c r="X87" s="198"/>
    </row>
    <row r="88" spans="1:24">
      <c r="A88" s="224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198"/>
      <c r="W88" s="198"/>
      <c r="X88" s="198"/>
    </row>
    <row r="89" spans="1:24">
      <c r="A89" s="224"/>
      <c r="B89" s="189"/>
      <c r="C89" s="9"/>
      <c r="D89" s="9"/>
      <c r="E89" s="18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198"/>
      <c r="W89" s="198"/>
      <c r="X89" s="198"/>
    </row>
    <row r="90" spans="1:24">
      <c r="A90" s="224"/>
      <c r="B90" s="189"/>
      <c r="C90" s="9"/>
      <c r="D90" s="9"/>
      <c r="E90" s="18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198"/>
      <c r="W90" s="198"/>
      <c r="X90" s="198"/>
    </row>
    <row r="91" spans="1:24">
      <c r="A91" s="224" t="s">
        <v>130</v>
      </c>
      <c r="B91" s="236">
        <f t="shared" ref="B91:U91" si="52">SUM(B13,B20,B27,B33,B40,B47,B53,B60,B67)</f>
        <v>38555.057913034907</v>
      </c>
      <c r="C91" s="236">
        <f t="shared" si="52"/>
        <v>37876.115679813825</v>
      </c>
      <c r="D91" s="236">
        <f t="shared" si="52"/>
        <v>36983.926459920607</v>
      </c>
      <c r="E91" s="236">
        <f t="shared" si="52"/>
        <v>36061.256712553048</v>
      </c>
      <c r="F91" s="236">
        <f t="shared" si="52"/>
        <v>34779.774294784394</v>
      </c>
      <c r="G91" s="236">
        <f t="shared" si="52"/>
        <v>33456.390554803562</v>
      </c>
      <c r="H91" s="236">
        <f t="shared" si="52"/>
        <v>32098.832858442165</v>
      </c>
      <c r="I91" s="236">
        <f t="shared" si="52"/>
        <v>30776.061177494867</v>
      </c>
      <c r="J91" s="236">
        <f t="shared" si="52"/>
        <v>29217.894872438057</v>
      </c>
      <c r="K91" s="236">
        <f t="shared" si="52"/>
        <v>27659.129845316907</v>
      </c>
      <c r="L91" s="236">
        <f t="shared" si="52"/>
        <v>25992.596356468173</v>
      </c>
      <c r="M91" s="236">
        <f t="shared" si="52"/>
        <v>24255.439421765914</v>
      </c>
      <c r="N91" s="236">
        <f t="shared" si="52"/>
        <v>22246.923246433947</v>
      </c>
      <c r="O91" s="236">
        <f t="shared" si="52"/>
        <v>20151.266724490073</v>
      </c>
      <c r="P91" s="236">
        <f t="shared" si="52"/>
        <v>17877.113741930181</v>
      </c>
      <c r="Q91" s="236">
        <f t="shared" si="52"/>
        <v>15445.963263737161</v>
      </c>
      <c r="R91" s="236">
        <f t="shared" si="52"/>
        <v>12690.097286132783</v>
      </c>
      <c r="S91" s="236">
        <f t="shared" si="52"/>
        <v>9721.7334524845937</v>
      </c>
      <c r="T91" s="236">
        <f t="shared" si="52"/>
        <v>6463.7855143600227</v>
      </c>
      <c r="U91" s="236">
        <f t="shared" si="52"/>
        <v>2889.7854063791874</v>
      </c>
      <c r="V91" s="198"/>
      <c r="W91" s="198"/>
      <c r="X91" s="198"/>
    </row>
    <row r="92" spans="1:24">
      <c r="A92" s="224"/>
      <c r="B92" s="189"/>
      <c r="C92" s="9"/>
      <c r="D92" s="9"/>
      <c r="E92" s="18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198"/>
      <c r="W92" s="198"/>
      <c r="X92" s="198"/>
    </row>
    <row r="93" spans="1:24">
      <c r="A93" s="224"/>
      <c r="B93" s="189"/>
      <c r="C93" s="9"/>
      <c r="D93" s="9"/>
      <c r="E93" s="18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198"/>
      <c r="W93" s="198"/>
      <c r="X93" s="198"/>
    </row>
    <row r="94" spans="1:24">
      <c r="B94" s="418" t="s">
        <v>13</v>
      </c>
      <c r="C94" s="419"/>
      <c r="D94" s="419"/>
      <c r="E94" s="420"/>
      <c r="F94" s="198"/>
      <c r="G94" s="418" t="s">
        <v>14</v>
      </c>
      <c r="H94" s="419"/>
      <c r="I94" s="419"/>
      <c r="J94" s="420"/>
      <c r="K94" s="198"/>
      <c r="L94" s="418" t="s">
        <v>15</v>
      </c>
      <c r="M94" s="419"/>
      <c r="N94" s="419"/>
      <c r="O94" s="420"/>
      <c r="P94" s="178"/>
      <c r="Q94" s="178"/>
      <c r="R94" s="178"/>
      <c r="S94" s="198"/>
      <c r="T94" s="198"/>
      <c r="U94" s="198"/>
      <c r="V94" s="198"/>
      <c r="W94" s="198"/>
      <c r="X94" s="198"/>
    </row>
    <row r="95" spans="1:24">
      <c r="B95" s="237" t="s">
        <v>111</v>
      </c>
      <c r="C95" s="238"/>
      <c r="D95" s="238"/>
      <c r="E95" s="239">
        <f>'Summary Output'!B20</f>
        <v>6.8000000000000005E-2</v>
      </c>
      <c r="F95" s="224"/>
      <c r="G95" s="237" t="s">
        <v>111</v>
      </c>
      <c r="H95" s="238"/>
      <c r="I95" s="238"/>
      <c r="J95" s="239">
        <f>'Summary Output'!C20</f>
        <v>6.5000000000000002E-2</v>
      </c>
      <c r="K95" s="224"/>
      <c r="L95" s="237" t="s">
        <v>111</v>
      </c>
      <c r="M95" s="238"/>
      <c r="N95" s="238"/>
      <c r="O95" s="239">
        <f>'Summary Output'!D20</f>
        <v>6.2E-2</v>
      </c>
      <c r="P95" s="178"/>
      <c r="Q95" s="178"/>
      <c r="R95" s="178"/>
      <c r="S95" s="198"/>
      <c r="T95" s="198"/>
      <c r="U95" s="198"/>
      <c r="V95" s="198"/>
      <c r="W95" s="198"/>
      <c r="X95" s="198"/>
    </row>
    <row r="96" spans="1:24">
      <c r="B96" s="240" t="s">
        <v>21</v>
      </c>
      <c r="C96" s="9"/>
      <c r="D96" s="9"/>
      <c r="E96" s="241">
        <f>'Summary Output'!B21</f>
        <v>2.2499999999999999E-2</v>
      </c>
      <c r="G96" s="240" t="s">
        <v>21</v>
      </c>
      <c r="H96" s="9"/>
      <c r="I96" s="9"/>
      <c r="J96" s="241">
        <f>'Summary Output'!C21</f>
        <v>4.4999999999999998E-2</v>
      </c>
      <c r="L96" s="240" t="s">
        <v>21</v>
      </c>
      <c r="M96" s="9"/>
      <c r="N96" s="9"/>
      <c r="O96" s="241">
        <f>'Summary Output'!D21</f>
        <v>0.05</v>
      </c>
    </row>
    <row r="97" spans="1:24">
      <c r="A97" s="203"/>
      <c r="B97" s="242" t="s">
        <v>22</v>
      </c>
      <c r="C97" s="107"/>
      <c r="D97" s="107"/>
      <c r="E97" s="243">
        <f>E96+E95</f>
        <v>9.0499999999999997E-2</v>
      </c>
      <c r="G97" s="242" t="s">
        <v>22</v>
      </c>
      <c r="H97" s="107"/>
      <c r="I97" s="107"/>
      <c r="J97" s="243">
        <f>J96+J95</f>
        <v>0.11</v>
      </c>
      <c r="L97" s="242" t="s">
        <v>22</v>
      </c>
      <c r="M97" s="107"/>
      <c r="N97" s="107"/>
      <c r="O97" s="243">
        <f>O96+O95</f>
        <v>0.112</v>
      </c>
    </row>
    <row r="98" spans="1:24">
      <c r="B98" s="244" t="s">
        <v>112</v>
      </c>
      <c r="C98" s="238"/>
      <c r="D98" s="238"/>
      <c r="E98" s="245" t="e">
        <f>('Summary Output'!B17-'Summary Output'!$C$14)/365.25</f>
        <v>#N/A</v>
      </c>
      <c r="G98" s="244" t="s">
        <v>112</v>
      </c>
      <c r="H98" s="238"/>
      <c r="I98" s="238"/>
      <c r="J98" s="245">
        <f>('Summary Output'!C17-'Summary Output'!$C$14)/365.25</f>
        <v>9.9958932238193015</v>
      </c>
      <c r="L98" s="244" t="s">
        <v>112</v>
      </c>
      <c r="M98" s="238"/>
      <c r="N98" s="238"/>
      <c r="O98" s="245">
        <f>('Summary Output'!D17-'Summary Output'!$C$14)/365.25</f>
        <v>19.997262149212869</v>
      </c>
    </row>
    <row r="99" spans="1:24">
      <c r="B99" s="246" t="s">
        <v>113</v>
      </c>
      <c r="C99" s="9"/>
      <c r="D99" s="9"/>
      <c r="E99" s="247" t="str">
        <f>B109</f>
        <v/>
      </c>
      <c r="G99" s="246" t="s">
        <v>113</v>
      </c>
      <c r="H99" s="9"/>
      <c r="I99" s="9"/>
      <c r="J99" s="247">
        <f>B110</f>
        <v>5.8765645448323056</v>
      </c>
      <c r="L99" s="246" t="s">
        <v>113</v>
      </c>
      <c r="M99" s="9"/>
      <c r="N99" s="9"/>
      <c r="O99" s="247">
        <f>B111</f>
        <v>15.957775222450378</v>
      </c>
    </row>
    <row r="100" spans="1:24">
      <c r="B100" s="242" t="s">
        <v>69</v>
      </c>
      <c r="C100" s="107"/>
      <c r="D100" s="107"/>
      <c r="E100" s="248">
        <f>B14</f>
        <v>0</v>
      </c>
      <c r="G100" s="242" t="s">
        <v>69</v>
      </c>
      <c r="H100" s="107"/>
      <c r="I100" s="107"/>
      <c r="J100" s="248">
        <f>B34</f>
        <v>112931</v>
      </c>
      <c r="L100" s="242" t="s">
        <v>69</v>
      </c>
      <c r="M100" s="107"/>
      <c r="N100" s="107"/>
      <c r="O100" s="248">
        <f>B54</f>
        <v>236225</v>
      </c>
    </row>
    <row r="101" spans="1:24">
      <c r="B101" s="203"/>
    </row>
    <row r="102" spans="1:24">
      <c r="B102" s="203"/>
    </row>
    <row r="103" spans="1:24" ht="13.5" thickBo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5" spans="1:24">
      <c r="A105" s="26" t="s">
        <v>116</v>
      </c>
      <c r="B105" s="249">
        <f>(B16-$B$11)/365.25</f>
        <v>0.49281314168377821</v>
      </c>
      <c r="C105" s="249">
        <f t="shared" ref="C105:U105" si="53">(C16-$B$11)/365.25</f>
        <v>1.4921286789869952</v>
      </c>
      <c r="D105" s="249">
        <f t="shared" si="53"/>
        <v>2.4914442162902124</v>
      </c>
      <c r="E105" s="249">
        <f t="shared" si="53"/>
        <v>3.4934976043805612</v>
      </c>
      <c r="F105" s="249">
        <f t="shared" si="53"/>
        <v>4.4928131416837784</v>
      </c>
      <c r="G105" s="249">
        <f t="shared" si="53"/>
        <v>5.4921286789869956</v>
      </c>
      <c r="H105" s="249">
        <f t="shared" si="53"/>
        <v>6.491444216290212</v>
      </c>
      <c r="I105" s="249">
        <f t="shared" si="53"/>
        <v>7.4934976043805612</v>
      </c>
      <c r="J105" s="249">
        <f t="shared" si="53"/>
        <v>8.4928131416837775</v>
      </c>
      <c r="K105" s="249">
        <f t="shared" si="53"/>
        <v>9.4921286789869956</v>
      </c>
      <c r="L105" s="249">
        <f t="shared" si="53"/>
        <v>10.491444216290212</v>
      </c>
      <c r="M105" s="249">
        <f t="shared" si="53"/>
        <v>11.493497604380561</v>
      </c>
      <c r="N105" s="249">
        <f t="shared" si="53"/>
        <v>12.492813141683778</v>
      </c>
      <c r="O105" s="249">
        <f t="shared" si="53"/>
        <v>13.492128678986996</v>
      </c>
      <c r="P105" s="249">
        <f t="shared" si="53"/>
        <v>14.491444216290212</v>
      </c>
      <c r="Q105" s="249">
        <f t="shared" si="53"/>
        <v>15.493497604380561</v>
      </c>
      <c r="R105" s="249">
        <f t="shared" si="53"/>
        <v>16.492813141683779</v>
      </c>
      <c r="S105" s="249">
        <f t="shared" si="53"/>
        <v>17.492128678986994</v>
      </c>
      <c r="T105" s="249">
        <f t="shared" si="53"/>
        <v>18.491444216290212</v>
      </c>
      <c r="U105" s="249">
        <f t="shared" si="53"/>
        <v>19.493497604380561</v>
      </c>
      <c r="V105" s="250"/>
      <c r="W105" s="250"/>
      <c r="X105" s="250"/>
    </row>
    <row r="106" spans="1:24">
      <c r="B106" s="249">
        <f>(B23-$B$11)/365.25</f>
        <v>0.99657768651608492</v>
      </c>
      <c r="C106" s="249">
        <f t="shared" ref="C106:U106" si="54">(C23-$B$11)/365.25</f>
        <v>1.9958932238193019</v>
      </c>
      <c r="D106" s="249">
        <f t="shared" si="54"/>
        <v>2.9952087611225187</v>
      </c>
      <c r="E106" s="249">
        <f t="shared" si="54"/>
        <v>3.9972621492128679</v>
      </c>
      <c r="F106" s="249">
        <f t="shared" si="54"/>
        <v>4.9965776865160851</v>
      </c>
      <c r="G106" s="249">
        <f t="shared" si="54"/>
        <v>5.9958932238193015</v>
      </c>
      <c r="H106" s="249">
        <f t="shared" si="54"/>
        <v>6.9952087611225187</v>
      </c>
      <c r="I106" s="249">
        <f t="shared" si="54"/>
        <v>7.9972621492128679</v>
      </c>
      <c r="J106" s="249">
        <f t="shared" si="54"/>
        <v>8.9965776865160851</v>
      </c>
      <c r="K106" s="249">
        <f t="shared" si="54"/>
        <v>9.9958932238193015</v>
      </c>
      <c r="L106" s="249">
        <f t="shared" si="54"/>
        <v>10.99520876112252</v>
      </c>
      <c r="M106" s="249">
        <f t="shared" si="54"/>
        <v>11.997262149212867</v>
      </c>
      <c r="N106" s="249">
        <f t="shared" si="54"/>
        <v>12.996577686516085</v>
      </c>
      <c r="O106" s="249">
        <f t="shared" si="54"/>
        <v>13.995893223819301</v>
      </c>
      <c r="P106" s="249">
        <f t="shared" si="54"/>
        <v>14.99520876112252</v>
      </c>
      <c r="Q106" s="249">
        <f t="shared" si="54"/>
        <v>15.997262149212867</v>
      </c>
      <c r="R106" s="249">
        <f t="shared" si="54"/>
        <v>16.996577686516083</v>
      </c>
      <c r="S106" s="249">
        <f t="shared" si="54"/>
        <v>17.995893223819301</v>
      </c>
      <c r="T106" s="249">
        <f t="shared" si="54"/>
        <v>18.99520876112252</v>
      </c>
      <c r="U106" s="249">
        <f t="shared" si="54"/>
        <v>19.997262149212869</v>
      </c>
      <c r="V106" s="249"/>
      <c r="W106" s="249"/>
      <c r="X106" s="249"/>
    </row>
    <row r="107" spans="1:24"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</row>
    <row r="108" spans="1:24">
      <c r="A108" s="26" t="s">
        <v>87</v>
      </c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</row>
    <row r="109" spans="1:24">
      <c r="A109" s="5" t="s">
        <v>13</v>
      </c>
      <c r="B109" s="251" t="str">
        <f>IF(E100=0,"",(SUMPRODUCT($B$105:$U$105,B19:U19)+SUMPRODUCT($B$106:$U$106,B26:U26))/E100)</f>
        <v/>
      </c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</row>
    <row r="110" spans="1:24">
      <c r="A110" s="5" t="s">
        <v>14</v>
      </c>
      <c r="B110" s="251">
        <f>(SUMPRODUCT($B$105:$U$105,B39:U39)+SUMPRODUCT($B$106:$U$106,B46:U46))/J100</f>
        <v>5.8765645448323056</v>
      </c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</row>
    <row r="111" spans="1:24">
      <c r="A111" s="5" t="s">
        <v>15</v>
      </c>
      <c r="B111" s="251">
        <f>(SUMPRODUCT($B$105:$U$105,B59:U59)+SUMPRODUCT($B$106:$U$106,B66:U66))/O100</f>
        <v>15.957775222450378</v>
      </c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</row>
    <row r="112" spans="1:24" ht="13.5" thickBo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</sheetData>
  <mergeCells count="3">
    <mergeCell ref="B94:E94"/>
    <mergeCell ref="G94:J94"/>
    <mergeCell ref="L94:O94"/>
  </mergeCells>
  <pageMargins left="0.75" right="0.75" top="1" bottom="1" header="0.5" footer="0.5"/>
  <pageSetup scale="3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Y33"/>
  <sheetViews>
    <sheetView zoomScaleNormal="75" workbookViewId="0">
      <pane xSplit="1" ySplit="7" topLeftCell="B8" activePane="bottomRight" state="frozen"/>
      <selection pane="topRight"/>
      <selection pane="bottomLeft"/>
      <selection pane="bottomRight" activeCell="A8" sqref="A8"/>
    </sheetView>
  </sheetViews>
  <sheetFormatPr defaultRowHeight="12.75"/>
  <cols>
    <col min="1" max="1" width="40.85546875" style="5" bestFit="1" customWidth="1"/>
    <col min="2" max="2" width="9.28515625" style="5" bestFit="1" customWidth="1"/>
    <col min="3" max="22" width="10.7109375" style="5" bestFit="1" customWidth="1"/>
    <col min="23" max="24" width="10.28515625" style="96" bestFit="1" customWidth="1"/>
    <col min="25" max="25" width="4.7109375" style="96" bestFit="1" customWidth="1"/>
    <col min="26" max="16384" width="9.140625" style="5"/>
  </cols>
  <sheetData>
    <row r="2" spans="1:25" ht="18">
      <c r="A2" s="157" t="s">
        <v>90</v>
      </c>
      <c r="B2" s="157"/>
    </row>
    <row r="5" spans="1:25" ht="18">
      <c r="A5" s="252" t="s">
        <v>138</v>
      </c>
      <c r="B5" s="252"/>
    </row>
    <row r="6" spans="1:25">
      <c r="W6" s="253"/>
      <c r="X6" s="253"/>
    </row>
    <row r="7" spans="1:25" ht="13.5" thickBot="1">
      <c r="A7" s="162" t="s">
        <v>49</v>
      </c>
      <c r="B7" s="195" t="s">
        <v>107</v>
      </c>
      <c r="C7" s="163">
        <v>2001</v>
      </c>
      <c r="D7" s="163">
        <f t="shared" ref="D7:V7" si="0">C7+1</f>
        <v>2002</v>
      </c>
      <c r="E7" s="163">
        <f t="shared" si="0"/>
        <v>2003</v>
      </c>
      <c r="F7" s="163">
        <f>E7+1</f>
        <v>2004</v>
      </c>
      <c r="G7" s="163">
        <f t="shared" si="0"/>
        <v>2005</v>
      </c>
      <c r="H7" s="163">
        <f t="shared" si="0"/>
        <v>2006</v>
      </c>
      <c r="I7" s="163">
        <f t="shared" si="0"/>
        <v>2007</v>
      </c>
      <c r="J7" s="163">
        <f t="shared" si="0"/>
        <v>2008</v>
      </c>
      <c r="K7" s="163">
        <f t="shared" si="0"/>
        <v>2009</v>
      </c>
      <c r="L7" s="163">
        <f>K7+1</f>
        <v>2010</v>
      </c>
      <c r="M7" s="163">
        <f t="shared" si="0"/>
        <v>2011</v>
      </c>
      <c r="N7" s="163">
        <f t="shared" si="0"/>
        <v>2012</v>
      </c>
      <c r="O7" s="163">
        <f t="shared" si="0"/>
        <v>2013</v>
      </c>
      <c r="P7" s="163">
        <f t="shared" si="0"/>
        <v>2014</v>
      </c>
      <c r="Q7" s="163">
        <f t="shared" si="0"/>
        <v>2015</v>
      </c>
      <c r="R7" s="163">
        <f t="shared" si="0"/>
        <v>2016</v>
      </c>
      <c r="S7" s="163">
        <f t="shared" si="0"/>
        <v>2017</v>
      </c>
      <c r="T7" s="163">
        <f t="shared" si="0"/>
        <v>2018</v>
      </c>
      <c r="U7" s="163">
        <f t="shared" si="0"/>
        <v>2019</v>
      </c>
      <c r="V7" s="163">
        <f t="shared" si="0"/>
        <v>2020</v>
      </c>
      <c r="W7" s="254" t="s">
        <v>16</v>
      </c>
      <c r="X7" s="421" t="s">
        <v>146</v>
      </c>
      <c r="Y7" s="421"/>
    </row>
    <row r="8" spans="1:25">
      <c r="A8" s="256"/>
      <c r="B8" s="257">
        <f>'Summary Output'!B27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58"/>
      <c r="X8" s="255"/>
      <c r="Y8" s="259"/>
    </row>
    <row r="9" spans="1:25">
      <c r="A9" s="167"/>
      <c r="B9" s="167"/>
      <c r="C9" s="164"/>
      <c r="D9" s="164"/>
      <c r="E9" s="164"/>
      <c r="F9" s="164"/>
      <c r="G9" s="260"/>
      <c r="H9" s="260"/>
      <c r="I9" s="261"/>
      <c r="J9" s="261"/>
      <c r="K9" s="260"/>
      <c r="L9" s="260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258"/>
      <c r="X9" s="255"/>
      <c r="Y9" s="259"/>
    </row>
    <row r="10" spans="1:25">
      <c r="A10" s="262" t="s">
        <v>56</v>
      </c>
      <c r="B10" s="180">
        <v>0</v>
      </c>
      <c r="C10" s="180">
        <f>IS!B27</f>
        <v>102592.929720534</v>
      </c>
      <c r="D10" s="180">
        <f>IS!C27</f>
        <v>107696.18880354257</v>
      </c>
      <c r="E10" s="180">
        <f>IS!D27</f>
        <v>113071.53557120672</v>
      </c>
      <c r="F10" s="180">
        <f>IS!E27</f>
        <v>118835.09197848092</v>
      </c>
      <c r="G10" s="180">
        <f>IS!F27</f>
        <v>124921.89072552331</v>
      </c>
      <c r="H10" s="180">
        <f>IS!G27</f>
        <v>126904.42051242183</v>
      </c>
      <c r="I10" s="180">
        <f>IS!H27</f>
        <v>128975.40784159752</v>
      </c>
      <c r="J10" s="180">
        <f>IS!I27</f>
        <v>131146.23840621041</v>
      </c>
      <c r="K10" s="180">
        <f>IS!J27</f>
        <v>133457.95566581364</v>
      </c>
      <c r="L10" s="180">
        <f>IS!K27</f>
        <v>135888.96959825963</v>
      </c>
      <c r="M10" s="180">
        <f>IS!L27</f>
        <v>138042.99670688031</v>
      </c>
      <c r="N10" s="180">
        <f>IS!M27</f>
        <v>140391.99302808195</v>
      </c>
      <c r="O10" s="180">
        <f>IS!N27</f>
        <v>142426.20204678635</v>
      </c>
      <c r="P10" s="180">
        <f>IS!O27</f>
        <v>144852.83411164978</v>
      </c>
      <c r="Q10" s="180">
        <f>IS!P27</f>
        <v>146877.62856066786</v>
      </c>
      <c r="R10" s="180">
        <f>IS!Q27</f>
        <v>149568.70795151161</v>
      </c>
      <c r="S10" s="180">
        <f>IS!R27</f>
        <v>151700.25008915621</v>
      </c>
      <c r="T10" s="180">
        <f>IS!S27</f>
        <v>153858.8688336176</v>
      </c>
      <c r="U10" s="180">
        <f>IS!T27</f>
        <v>156044.83346029819</v>
      </c>
      <c r="V10" s="180">
        <f>IS!U27</f>
        <v>158258.41320385283</v>
      </c>
      <c r="W10" s="263">
        <f>SUM(C10:V10)</f>
        <v>2705513.3568160934</v>
      </c>
      <c r="X10" s="264">
        <f>SUM(Wheatland!W48,Wilton!W48,Gleason!W48)</f>
        <v>2705513.3568160934</v>
      </c>
      <c r="Y10" s="265">
        <f>W10-X10</f>
        <v>0</v>
      </c>
    </row>
    <row r="11" spans="1:25"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208"/>
      <c r="X11" s="259"/>
      <c r="Y11" s="259"/>
    </row>
    <row r="12" spans="1:25" s="96" customFormat="1" ht="12" customHeight="1">
      <c r="A12" s="266" t="s">
        <v>153</v>
      </c>
      <c r="B12" s="267">
        <v>0</v>
      </c>
      <c r="C12" s="268">
        <f>IS!B22</f>
        <v>746.46</v>
      </c>
      <c r="D12" s="268">
        <f>IS!C22</f>
        <v>1050.307</v>
      </c>
      <c r="E12" s="268">
        <f>IS!D22</f>
        <v>1248.0929999999998</v>
      </c>
      <c r="F12" s="268">
        <f>IS!E22</f>
        <v>1339.135</v>
      </c>
      <c r="G12" s="268">
        <f>IS!F22</f>
        <v>1401.501</v>
      </c>
      <c r="H12" s="268">
        <f>IS!G22</f>
        <v>1623.5369999999998</v>
      </c>
      <c r="I12" s="268">
        <f>IS!H22</f>
        <v>1795.9389999999999</v>
      </c>
      <c r="J12" s="268">
        <f>IS!I22</f>
        <v>1908.1120000000001</v>
      </c>
      <c r="K12" s="268">
        <f>IS!J22</f>
        <v>1920.1799999999998</v>
      </c>
      <c r="L12" s="268">
        <f>IS!K22</f>
        <v>1854.1379999999999</v>
      </c>
      <c r="M12" s="268">
        <f>IS!L22</f>
        <v>2009.2130000000002</v>
      </c>
      <c r="N12" s="268">
        <f>IS!M22</f>
        <v>2009.1799999999998</v>
      </c>
      <c r="O12" s="268">
        <f>IS!N22</f>
        <v>2358.1</v>
      </c>
      <c r="P12" s="268">
        <f>IS!O22</f>
        <v>2358.1</v>
      </c>
      <c r="Q12" s="268">
        <f>IS!P22</f>
        <v>2794.25</v>
      </c>
      <c r="R12" s="268">
        <f>IS!Q22</f>
        <v>2229.731045</v>
      </c>
      <c r="S12" s="268">
        <f>IS!R22</f>
        <v>2244.6096659</v>
      </c>
      <c r="T12" s="268">
        <f>IS!S22</f>
        <v>2259.785859218</v>
      </c>
      <c r="U12" s="268">
        <f>IS!T22</f>
        <v>2275.2655764023598</v>
      </c>
      <c r="V12" s="268">
        <f>IS!U22</f>
        <v>2291.0548879304069</v>
      </c>
      <c r="W12" s="263">
        <f>SUM(C12:V12)</f>
        <v>37716.69203445076</v>
      </c>
      <c r="X12" s="264">
        <f>SUM(IS!B22:U22)</f>
        <v>37716.69203445076</v>
      </c>
      <c r="Y12" s="265">
        <f>W12-X12</f>
        <v>0</v>
      </c>
    </row>
    <row r="13" spans="1:25" s="96" customFormat="1">
      <c r="A13" s="266" t="s">
        <v>154</v>
      </c>
      <c r="B13" s="267">
        <v>0</v>
      </c>
      <c r="C13" s="268">
        <f>SUM(Gleason!B50,Wheatland!B50,Wilton!B50)</f>
        <v>-629.19810140000004</v>
      </c>
      <c r="D13" s="268">
        <f>-C12</f>
        <v>-746.46</v>
      </c>
      <c r="E13" s="268">
        <f t="shared" ref="E13:V13" si="1">-D12</f>
        <v>-1050.307</v>
      </c>
      <c r="F13" s="268">
        <f t="shared" si="1"/>
        <v>-1248.0929999999998</v>
      </c>
      <c r="G13" s="268">
        <f t="shared" si="1"/>
        <v>-1339.135</v>
      </c>
      <c r="H13" s="268">
        <f t="shared" si="1"/>
        <v>-1401.501</v>
      </c>
      <c r="I13" s="268">
        <f t="shared" si="1"/>
        <v>-1623.5369999999998</v>
      </c>
      <c r="J13" s="268">
        <f t="shared" si="1"/>
        <v>-1795.9389999999999</v>
      </c>
      <c r="K13" s="268">
        <f t="shared" si="1"/>
        <v>-1908.1120000000001</v>
      </c>
      <c r="L13" s="268">
        <f t="shared" si="1"/>
        <v>-1920.1799999999998</v>
      </c>
      <c r="M13" s="268">
        <f t="shared" si="1"/>
        <v>-1854.1379999999999</v>
      </c>
      <c r="N13" s="268">
        <f t="shared" si="1"/>
        <v>-2009.2130000000002</v>
      </c>
      <c r="O13" s="268">
        <f t="shared" si="1"/>
        <v>-2009.1799999999998</v>
      </c>
      <c r="P13" s="268">
        <f t="shared" si="1"/>
        <v>-2358.1</v>
      </c>
      <c r="Q13" s="268">
        <f t="shared" si="1"/>
        <v>-2358.1</v>
      </c>
      <c r="R13" s="268">
        <f t="shared" si="1"/>
        <v>-2794.25</v>
      </c>
      <c r="S13" s="268">
        <f t="shared" si="1"/>
        <v>-2229.731045</v>
      </c>
      <c r="T13" s="268">
        <f t="shared" si="1"/>
        <v>-2244.6096659</v>
      </c>
      <c r="U13" s="268">
        <f t="shared" si="1"/>
        <v>-2259.785859218</v>
      </c>
      <c r="V13" s="268">
        <f t="shared" si="1"/>
        <v>-2275.2655764023598</v>
      </c>
      <c r="W13" s="263">
        <f>SUM(C13:V13)</f>
        <v>-36054.835247920353</v>
      </c>
      <c r="X13" s="264">
        <f>SUM(Wheatland!W50,Wilton!W50,Gleason!W50)</f>
        <v>-36054.83524792036</v>
      </c>
      <c r="Y13" s="265">
        <f>W13-X13</f>
        <v>0</v>
      </c>
    </row>
    <row r="14" spans="1:25">
      <c r="A14" s="266" t="s">
        <v>86</v>
      </c>
      <c r="B14" s="267">
        <v>0</v>
      </c>
      <c r="C14" s="267">
        <f>-Debt!B75</f>
        <v>-6911.3771999999999</v>
      </c>
      <c r="D14" s="267">
        <f>-Debt!C75</f>
        <v>-7837.4114</v>
      </c>
      <c r="E14" s="267">
        <f>-Debt!D75</f>
        <v>-8944.1352000000006</v>
      </c>
      <c r="F14" s="267">
        <f>-Debt!E75</f>
        <v>-10344.479600000001</v>
      </c>
      <c r="G14" s="267">
        <f>-Debt!F75</f>
        <v>-11970.686</v>
      </c>
      <c r="H14" s="267">
        <f>-Debt!G75</f>
        <v>-12241.7204</v>
      </c>
      <c r="I14" s="267">
        <f>-Debt!H75</f>
        <v>-12670.858199999999</v>
      </c>
      <c r="J14" s="267">
        <f>-Debt!I75</f>
        <v>-13212.927000000001</v>
      </c>
      <c r="K14" s="267">
        <f>-Debt!J75</f>
        <v>-13958.2716</v>
      </c>
      <c r="L14" s="267">
        <f>-Debt!K75</f>
        <v>-14839.133399999999</v>
      </c>
      <c r="M14" s="267">
        <f>-Debt!L75</f>
        <v>-15827.075000000001</v>
      </c>
      <c r="N14" s="267">
        <f>-Debt!M75</f>
        <v>-17008.199999999997</v>
      </c>
      <c r="O14" s="267">
        <f>-Debt!N75</f>
        <v>-18331.060000000001</v>
      </c>
      <c r="P14" s="267">
        <f>-Debt!O75</f>
        <v>-19890.145</v>
      </c>
      <c r="Q14" s="267">
        <f>-Debt!P75</f>
        <v>-21590.965</v>
      </c>
      <c r="R14" s="267">
        <f>-Debt!Q75</f>
        <v>-23669.744999999999</v>
      </c>
      <c r="S14" s="267">
        <f>-Debt!R75</f>
        <v>-25890.260000000002</v>
      </c>
      <c r="T14" s="267">
        <f>-Debt!S75</f>
        <v>-28394.244999999999</v>
      </c>
      <c r="U14" s="267">
        <f>-Debt!T75</f>
        <v>-31228.945000000003</v>
      </c>
      <c r="V14" s="267">
        <f>-Debt!U75</f>
        <v>-34394.36</v>
      </c>
      <c r="W14" s="263">
        <f>SUM(C14:V14)</f>
        <v>-349156</v>
      </c>
      <c r="X14" s="264">
        <f>SUM(Debt!B75:U75)</f>
        <v>349156</v>
      </c>
      <c r="Y14" s="265">
        <f>W14+X14</f>
        <v>0</v>
      </c>
    </row>
    <row r="15" spans="1:25">
      <c r="A15" s="266" t="s">
        <v>85</v>
      </c>
      <c r="B15" s="269">
        <v>0</v>
      </c>
      <c r="C15" s="269">
        <f>-Debt!B76</f>
        <v>-38555.057913034907</v>
      </c>
      <c r="D15" s="269">
        <f>-Debt!C76</f>
        <v>-37876.115679813825</v>
      </c>
      <c r="E15" s="269">
        <f>-Debt!D76</f>
        <v>-36983.9264599206</v>
      </c>
      <c r="F15" s="269">
        <f>-Debt!E76</f>
        <v>-36061.256712553048</v>
      </c>
      <c r="G15" s="269">
        <f>-Debt!F76</f>
        <v>-34779.774294784394</v>
      </c>
      <c r="H15" s="269">
        <f>-Debt!G76</f>
        <v>-33456.390554803562</v>
      </c>
      <c r="I15" s="269">
        <f>-Debt!H76</f>
        <v>-32098.832858442162</v>
      </c>
      <c r="J15" s="269">
        <f>-Debt!I76</f>
        <v>-30776.06117749487</v>
      </c>
      <c r="K15" s="269">
        <f>-Debt!J76</f>
        <v>-29217.894872438061</v>
      </c>
      <c r="L15" s="269">
        <f>-Debt!K76</f>
        <v>-27659.129845316904</v>
      </c>
      <c r="M15" s="269">
        <f>-Debt!L76</f>
        <v>-25992.596356468173</v>
      </c>
      <c r="N15" s="269">
        <f>-Debt!M76</f>
        <v>-24255.43942176591</v>
      </c>
      <c r="O15" s="269">
        <f>-Debt!N76</f>
        <v>-22246.923246433944</v>
      </c>
      <c r="P15" s="269">
        <f>-Debt!O76</f>
        <v>-20151.266724490073</v>
      </c>
      <c r="Q15" s="269">
        <f>-Debt!P76</f>
        <v>-17877.113741930181</v>
      </c>
      <c r="R15" s="269">
        <f>-Debt!Q76</f>
        <v>-15445.963263737163</v>
      </c>
      <c r="S15" s="269">
        <f>-Debt!R76</f>
        <v>-12690.097286132783</v>
      </c>
      <c r="T15" s="269">
        <f>-Debt!S76</f>
        <v>-9721.7334524845955</v>
      </c>
      <c r="U15" s="269">
        <f>-Debt!T76</f>
        <v>-6463.7855143600227</v>
      </c>
      <c r="V15" s="269">
        <f>-Debt!U76</f>
        <v>-2889.785406379187</v>
      </c>
      <c r="W15" s="270">
        <f>SUM(C15:V15)</f>
        <v>-495199.14478278439</v>
      </c>
      <c r="X15" s="264">
        <f>SUM(Debt!B76:U76)</f>
        <v>495199.14478278439</v>
      </c>
      <c r="Y15" s="265">
        <f>W15+X15</f>
        <v>0</v>
      </c>
    </row>
    <row r="16" spans="1:25">
      <c r="A16" s="266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204"/>
      <c r="X16" s="264"/>
      <c r="Y16" s="178"/>
    </row>
    <row r="17" spans="1:25">
      <c r="A17" s="262" t="s">
        <v>209</v>
      </c>
      <c r="B17" s="271">
        <f>SUM(B10:B15)</f>
        <v>0</v>
      </c>
      <c r="C17" s="271">
        <f>SUM(C10:C15)</f>
        <v>57243.756506099089</v>
      </c>
      <c r="D17" s="271">
        <f t="shared" ref="D17:V17" si="2">SUM(D10:D15)</f>
        <v>62286.508723728737</v>
      </c>
      <c r="E17" s="271">
        <f t="shared" si="2"/>
        <v>67341.259911286121</v>
      </c>
      <c r="F17" s="271">
        <f t="shared" si="2"/>
        <v>72520.397665927871</v>
      </c>
      <c r="G17" s="271">
        <f t="shared" si="2"/>
        <v>78233.796430738919</v>
      </c>
      <c r="H17" s="271">
        <f t="shared" si="2"/>
        <v>81428.345557618246</v>
      </c>
      <c r="I17" s="271">
        <f t="shared" si="2"/>
        <v>84378.118783155369</v>
      </c>
      <c r="J17" s="271">
        <f t="shared" si="2"/>
        <v>87269.423228715517</v>
      </c>
      <c r="K17" s="271">
        <f t="shared" si="2"/>
        <v>90293.857193375574</v>
      </c>
      <c r="L17" s="271">
        <f t="shared" si="2"/>
        <v>93324.664352942753</v>
      </c>
      <c r="M17" s="271">
        <f t="shared" si="2"/>
        <v>96378.400350412121</v>
      </c>
      <c r="N17" s="271">
        <f t="shared" si="2"/>
        <v>99128.320606316047</v>
      </c>
      <c r="O17" s="271">
        <f t="shared" si="2"/>
        <v>102197.13880035242</v>
      </c>
      <c r="P17" s="271">
        <f t="shared" si="2"/>
        <v>104811.42238715969</v>
      </c>
      <c r="Q17" s="271">
        <f t="shared" si="2"/>
        <v>107845.69981873767</v>
      </c>
      <c r="R17" s="271">
        <f t="shared" si="2"/>
        <v>109888.48073277443</v>
      </c>
      <c r="S17" s="271">
        <f t="shared" si="2"/>
        <v>113134.77142392343</v>
      </c>
      <c r="T17" s="271">
        <f t="shared" si="2"/>
        <v>115758.06657445102</v>
      </c>
      <c r="U17" s="271">
        <f t="shared" si="2"/>
        <v>118367.58266312252</v>
      </c>
      <c r="V17" s="271">
        <f t="shared" si="2"/>
        <v>120990.05710900167</v>
      </c>
      <c r="W17" s="263">
        <f>SUM(C17:V17)</f>
        <v>1862820.068819839</v>
      </c>
      <c r="X17" s="264">
        <f>SUM(Wheatland!W53,Wilton!W53,Gleason!W53)</f>
        <v>1862820.0688198393</v>
      </c>
      <c r="Y17" s="265">
        <f>W17-X17</f>
        <v>0</v>
      </c>
    </row>
    <row r="18" spans="1:25">
      <c r="A18" s="262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204"/>
      <c r="X18" s="259"/>
      <c r="Y18" s="178"/>
    </row>
    <row r="19" spans="1:25">
      <c r="A19" s="175" t="s">
        <v>184</v>
      </c>
      <c r="B19" s="180">
        <v>0</v>
      </c>
      <c r="C19" s="180">
        <f>-Tax!B8</f>
        <v>-1871.4496917230335</v>
      </c>
      <c r="D19" s="180">
        <f>-Tax!C8</f>
        <v>-534.01303238912465</v>
      </c>
      <c r="E19" s="180">
        <f>-Tax!D8</f>
        <v>-967.57923403985478</v>
      </c>
      <c r="F19" s="180">
        <f>-Tax!E8</f>
        <v>-1501.9184970411743</v>
      </c>
      <c r="G19" s="180">
        <f>-Tax!F8</f>
        <v>-2777.5413356805238</v>
      </c>
      <c r="H19" s="180">
        <f>-Tax!G8</f>
        <v>-3350.5005860922647</v>
      </c>
      <c r="I19" s="180">
        <f>-Tax!H8</f>
        <v>-3752.3364674376267</v>
      </c>
      <c r="J19" s="180">
        <f>-Tax!I8</f>
        <v>-3995.3372086402014</v>
      </c>
      <c r="K19" s="180">
        <f>-Tax!J8</f>
        <v>-4275.441288730105</v>
      </c>
      <c r="L19" s="180">
        <f>-Tax!K8</f>
        <v>-4555.123808483605</v>
      </c>
      <c r="M19" s="180">
        <f>-Tax!L8</f>
        <v>-4824.9607185563164</v>
      </c>
      <c r="N19" s="180">
        <f>-Tax!M8</f>
        <v>-5105.1180211369547</v>
      </c>
      <c r="O19" s="180">
        <f>-Tax!N8</f>
        <v>-5395.4503879262502</v>
      </c>
      <c r="P19" s="180">
        <f>-Tax!O8</f>
        <v>-5706.1373920057567</v>
      </c>
      <c r="Q19" s="180">
        <f>-Tax!P8</f>
        <v>-6015.2537151539582</v>
      </c>
      <c r="R19" s="180">
        <f>-Tax!Q8</f>
        <v>-7793.1317085315331</v>
      </c>
      <c r="S19" s="180">
        <f>-Tax!R8</f>
        <v>-9560.5694306257428</v>
      </c>
      <c r="T19" s="180">
        <f>-Tax!S8</f>
        <v>-9921.5532068797729</v>
      </c>
      <c r="U19" s="180">
        <f>-Tax!T8</f>
        <v>-10304.844397419012</v>
      </c>
      <c r="V19" s="180">
        <f>-Tax!U8</f>
        <v>-10712.324086248969</v>
      </c>
      <c r="W19" s="263">
        <f>SUM(C19:V19)</f>
        <v>-102920.5842147418</v>
      </c>
      <c r="X19" s="264">
        <f>SUM(Wheatland!W55,Wilton!W55,Gleason!W55)</f>
        <v>-102920.58421474177</v>
      </c>
      <c r="Y19" s="265">
        <f>W19-X19</f>
        <v>0</v>
      </c>
    </row>
    <row r="20" spans="1:25">
      <c r="A20" s="175" t="s">
        <v>185</v>
      </c>
      <c r="B20" s="272">
        <v>0</v>
      </c>
      <c r="C20" s="272">
        <f>-Tax!B24</f>
        <v>-7934.6160322089545</v>
      </c>
      <c r="D20" s="272">
        <f>-Tax!C24</f>
        <v>0</v>
      </c>
      <c r="E20" s="272">
        <f>-Tax!D24</f>
        <v>-638.82102199634801</v>
      </c>
      <c r="F20" s="272">
        <f>-Tax!E24</f>
        <v>-7156.778038308852</v>
      </c>
      <c r="G20" s="272">
        <f>-Tax!F24</f>
        <v>-11418.047735549088</v>
      </c>
      <c r="H20" s="272">
        <f>-Tax!G24</f>
        <v>-14309.890171476514</v>
      </c>
      <c r="I20" s="272">
        <f>-Tax!H24</f>
        <v>-16281.598064692265</v>
      </c>
      <c r="J20" s="272">
        <f>-Tax!I24</f>
        <v>-17391.661327800812</v>
      </c>
      <c r="K20" s="272">
        <f>-Tax!J24</f>
        <v>-18675.731410816981</v>
      </c>
      <c r="L20" s="272">
        <f>-Tax!K24</f>
        <v>-19946.617901335128</v>
      </c>
      <c r="M20" s="272">
        <f>-Tax!L24</f>
        <v>-21217.018455340603</v>
      </c>
      <c r="N20" s="272">
        <f>-Tax!M24</f>
        <v>-22521.469775587113</v>
      </c>
      <c r="O20" s="272">
        <f>-Tax!N24</f>
        <v>-23862.45452854022</v>
      </c>
      <c r="P20" s="272">
        <f>-Tax!O24</f>
        <v>-25308.867819078321</v>
      </c>
      <c r="Q20" s="272">
        <f>-Tax!P24</f>
        <v>-26732.955970445368</v>
      </c>
      <c r="R20" s="272">
        <f>-Tax!Q24</f>
        <v>-36059.421834830551</v>
      </c>
      <c r="S20" s="272">
        <f>-Tax!R24</f>
        <v>-45307.354180339193</v>
      </c>
      <c r="T20" s="272">
        <f>-Tax!S24</f>
        <v>-46975.453760988632</v>
      </c>
      <c r="U20" s="272">
        <f>-Tax!T24</f>
        <v>-48746.671241981705</v>
      </c>
      <c r="V20" s="272">
        <f>-Tax!U24</f>
        <v>-50629.706298928642</v>
      </c>
      <c r="W20" s="270">
        <f>SUM(C20:V20)</f>
        <v>-461115.13557024527</v>
      </c>
      <c r="X20" s="264">
        <f>SUM(Wheatland!W56,Wilton!W56,Gleason!W56)</f>
        <v>-461115.13557024533</v>
      </c>
      <c r="Y20" s="265">
        <f>W20-X20</f>
        <v>0</v>
      </c>
    </row>
    <row r="21" spans="1:25">
      <c r="A21" s="266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06"/>
      <c r="X21" s="274"/>
      <c r="Y21" s="178"/>
    </row>
    <row r="22" spans="1:25" s="26" customFormat="1">
      <c r="A22" s="262" t="s">
        <v>210</v>
      </c>
      <c r="B22" s="271">
        <f t="shared" ref="B22:W22" si="3">SUM(B20,B19,B17)</f>
        <v>0</v>
      </c>
      <c r="C22" s="271">
        <f t="shared" si="3"/>
        <v>47437.690782167105</v>
      </c>
      <c r="D22" s="271">
        <f t="shared" si="3"/>
        <v>61752.495691339609</v>
      </c>
      <c r="E22" s="271">
        <f t="shared" si="3"/>
        <v>65734.859655249922</v>
      </c>
      <c r="F22" s="271">
        <f t="shared" si="3"/>
        <v>63861.701130577843</v>
      </c>
      <c r="G22" s="271">
        <f t="shared" si="3"/>
        <v>64038.20735950931</v>
      </c>
      <c r="H22" s="271">
        <f t="shared" si="3"/>
        <v>63767.954800049469</v>
      </c>
      <c r="I22" s="271">
        <f t="shared" si="3"/>
        <v>64344.184251025479</v>
      </c>
      <c r="J22" s="271">
        <f t="shared" si="3"/>
        <v>65882.424692274508</v>
      </c>
      <c r="K22" s="271">
        <f t="shared" si="3"/>
        <v>67342.684493828492</v>
      </c>
      <c r="L22" s="271">
        <f t="shared" si="3"/>
        <v>68822.922643124024</v>
      </c>
      <c r="M22" s="271">
        <f t="shared" si="3"/>
        <v>70336.421176515199</v>
      </c>
      <c r="N22" s="271">
        <f t="shared" si="3"/>
        <v>71501.73280959198</v>
      </c>
      <c r="O22" s="271">
        <f t="shared" si="3"/>
        <v>72939.233883885958</v>
      </c>
      <c r="P22" s="271">
        <f t="shared" si="3"/>
        <v>73796.417176075614</v>
      </c>
      <c r="Q22" s="271">
        <f t="shared" si="3"/>
        <v>75097.490133138344</v>
      </c>
      <c r="R22" s="271">
        <f t="shared" si="3"/>
        <v>66035.927189412352</v>
      </c>
      <c r="S22" s="271">
        <f t="shared" si="3"/>
        <v>58266.847812958498</v>
      </c>
      <c r="T22" s="271">
        <f t="shared" si="3"/>
        <v>58861.05960658261</v>
      </c>
      <c r="U22" s="271">
        <f t="shared" si="3"/>
        <v>59316.0670237218</v>
      </c>
      <c r="V22" s="271">
        <f t="shared" si="3"/>
        <v>59648.026723824063</v>
      </c>
      <c r="W22" s="275">
        <f t="shared" si="3"/>
        <v>1298784.3490348519</v>
      </c>
      <c r="X22" s="264">
        <f>SUM(Wheatland!W58,Wilton!W58,Gleason!W58)</f>
        <v>1298784.3490348521</v>
      </c>
      <c r="Y22" s="265">
        <f>W22-X22</f>
        <v>0</v>
      </c>
    </row>
    <row r="23" spans="1:25">
      <c r="A23" s="266"/>
      <c r="B23" s="273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206"/>
      <c r="X23" s="207"/>
      <c r="Y23" s="5"/>
    </row>
    <row r="24" spans="1:25">
      <c r="A24" s="266"/>
      <c r="B24" s="276"/>
      <c r="C24" s="276"/>
      <c r="D24" s="276"/>
      <c r="E24" s="276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07"/>
    </row>
    <row r="25" spans="1:25" ht="18">
      <c r="A25" s="252" t="s">
        <v>67</v>
      </c>
    </row>
    <row r="26" spans="1:25" ht="12" customHeight="1">
      <c r="A26" s="252"/>
    </row>
    <row r="27" spans="1:25" ht="13.5" thickBot="1">
      <c r="A27" s="162" t="s">
        <v>49</v>
      </c>
      <c r="B27" s="195" t="s">
        <v>107</v>
      </c>
      <c r="C27" s="163">
        <v>2001</v>
      </c>
      <c r="D27" s="163">
        <f t="shared" ref="D27:V27" si="4">C27+1</f>
        <v>2002</v>
      </c>
      <c r="E27" s="163">
        <f t="shared" si="4"/>
        <v>2003</v>
      </c>
      <c r="F27" s="163">
        <f t="shared" si="4"/>
        <v>2004</v>
      </c>
      <c r="G27" s="163">
        <f t="shared" si="4"/>
        <v>2005</v>
      </c>
      <c r="H27" s="163">
        <f t="shared" si="4"/>
        <v>2006</v>
      </c>
      <c r="I27" s="163">
        <f t="shared" si="4"/>
        <v>2007</v>
      </c>
      <c r="J27" s="163">
        <f t="shared" si="4"/>
        <v>2008</v>
      </c>
      <c r="K27" s="163">
        <f t="shared" si="4"/>
        <v>2009</v>
      </c>
      <c r="L27" s="163">
        <f t="shared" si="4"/>
        <v>2010</v>
      </c>
      <c r="M27" s="163">
        <f t="shared" si="4"/>
        <v>2011</v>
      </c>
      <c r="N27" s="163">
        <f t="shared" si="4"/>
        <v>2012</v>
      </c>
      <c r="O27" s="163">
        <f t="shared" si="4"/>
        <v>2013</v>
      </c>
      <c r="P27" s="163">
        <f t="shared" si="4"/>
        <v>2014</v>
      </c>
      <c r="Q27" s="163">
        <f t="shared" si="4"/>
        <v>2015</v>
      </c>
      <c r="R27" s="163">
        <f t="shared" si="4"/>
        <v>2016</v>
      </c>
      <c r="S27" s="163">
        <f t="shared" si="4"/>
        <v>2017</v>
      </c>
      <c r="T27" s="163">
        <f t="shared" si="4"/>
        <v>2018</v>
      </c>
      <c r="U27" s="163">
        <f t="shared" si="4"/>
        <v>2019</v>
      </c>
      <c r="V27" s="163">
        <f t="shared" si="4"/>
        <v>2020</v>
      </c>
      <c r="X27" s="5"/>
    </row>
    <row r="28" spans="1:25">
      <c r="V28" s="96"/>
      <c r="X28" s="5"/>
    </row>
    <row r="29" spans="1:25">
      <c r="A29" s="5" t="s">
        <v>223</v>
      </c>
      <c r="B29" s="180">
        <f>-'Summary Output'!C7</f>
        <v>-440765.8119035805</v>
      </c>
      <c r="C29" s="180">
        <v>0</v>
      </c>
      <c r="D29" s="180">
        <v>0</v>
      </c>
      <c r="E29" s="180">
        <v>0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80">
        <v>0</v>
      </c>
      <c r="N29" s="180">
        <v>0</v>
      </c>
      <c r="O29" s="180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208">
        <v>0</v>
      </c>
    </row>
    <row r="30" spans="1:25">
      <c r="A30" s="5" t="s">
        <v>224</v>
      </c>
      <c r="B30" s="267">
        <f>B22</f>
        <v>0</v>
      </c>
      <c r="C30" s="267">
        <f>C22</f>
        <v>47437.690782167105</v>
      </c>
      <c r="D30" s="267">
        <f t="shared" ref="D30:V30" si="5">D22</f>
        <v>61752.495691339609</v>
      </c>
      <c r="E30" s="267">
        <f t="shared" si="5"/>
        <v>65734.859655249922</v>
      </c>
      <c r="F30" s="267">
        <f t="shared" si="5"/>
        <v>63861.701130577843</v>
      </c>
      <c r="G30" s="267">
        <f t="shared" si="5"/>
        <v>64038.20735950931</v>
      </c>
      <c r="H30" s="267">
        <f t="shared" si="5"/>
        <v>63767.954800049469</v>
      </c>
      <c r="I30" s="267">
        <f t="shared" si="5"/>
        <v>64344.184251025479</v>
      </c>
      <c r="J30" s="267">
        <f t="shared" si="5"/>
        <v>65882.424692274508</v>
      </c>
      <c r="K30" s="267">
        <f t="shared" si="5"/>
        <v>67342.684493828492</v>
      </c>
      <c r="L30" s="267">
        <f t="shared" si="5"/>
        <v>68822.922643124024</v>
      </c>
      <c r="M30" s="267">
        <f t="shared" si="5"/>
        <v>70336.421176515199</v>
      </c>
      <c r="N30" s="267">
        <f t="shared" si="5"/>
        <v>71501.73280959198</v>
      </c>
      <c r="O30" s="267">
        <f t="shared" si="5"/>
        <v>72939.233883885958</v>
      </c>
      <c r="P30" s="267">
        <f t="shared" si="5"/>
        <v>73796.417176075614</v>
      </c>
      <c r="Q30" s="267">
        <f t="shared" si="5"/>
        <v>75097.490133138344</v>
      </c>
      <c r="R30" s="267">
        <f t="shared" si="5"/>
        <v>66035.927189412352</v>
      </c>
      <c r="S30" s="267">
        <f t="shared" si="5"/>
        <v>58266.847812958498</v>
      </c>
      <c r="T30" s="267">
        <f t="shared" si="5"/>
        <v>58861.05960658261</v>
      </c>
      <c r="U30" s="267">
        <f t="shared" si="5"/>
        <v>59316.0670237218</v>
      </c>
      <c r="V30" s="267">
        <f t="shared" si="5"/>
        <v>59648.026723824063</v>
      </c>
    </row>
    <row r="31" spans="1:25">
      <c r="A31" s="5" t="s">
        <v>131</v>
      </c>
      <c r="B31" s="272">
        <v>0</v>
      </c>
      <c r="C31" s="272">
        <v>0</v>
      </c>
      <c r="D31" s="272">
        <v>0</v>
      </c>
      <c r="E31" s="272">
        <v>0</v>
      </c>
      <c r="F31" s="272">
        <v>0</v>
      </c>
      <c r="G31" s="272">
        <v>0</v>
      </c>
      <c r="H31" s="272">
        <v>0</v>
      </c>
      <c r="I31" s="272">
        <v>0</v>
      </c>
      <c r="J31" s="272">
        <v>0</v>
      </c>
      <c r="K31" s="272">
        <v>0</v>
      </c>
      <c r="L31" s="272">
        <v>0</v>
      </c>
      <c r="M31" s="272">
        <v>0</v>
      </c>
      <c r="N31" s="272">
        <v>0</v>
      </c>
      <c r="O31" s="272">
        <v>0</v>
      </c>
      <c r="P31" s="272">
        <v>0</v>
      </c>
      <c r="Q31" s="272">
        <v>0</v>
      </c>
      <c r="R31" s="272">
        <v>0</v>
      </c>
      <c r="S31" s="272">
        <v>0</v>
      </c>
      <c r="T31" s="272">
        <v>0</v>
      </c>
      <c r="U31" s="272">
        <v>0</v>
      </c>
      <c r="V31" s="272">
        <f>2*V10</f>
        <v>316516.82640770567</v>
      </c>
    </row>
    <row r="32" spans="1:25">
      <c r="A32" s="5" t="s">
        <v>225</v>
      </c>
      <c r="B32" s="180">
        <f t="shared" ref="B32:V32" si="6">SUM(B29:B31)</f>
        <v>-440765.8119035805</v>
      </c>
      <c r="C32" s="180">
        <f t="shared" si="6"/>
        <v>47437.690782167105</v>
      </c>
      <c r="D32" s="180">
        <f t="shared" si="6"/>
        <v>61752.495691339609</v>
      </c>
      <c r="E32" s="180">
        <f t="shared" si="6"/>
        <v>65734.859655249922</v>
      </c>
      <c r="F32" s="180">
        <f t="shared" si="6"/>
        <v>63861.701130577843</v>
      </c>
      <c r="G32" s="180">
        <f t="shared" si="6"/>
        <v>64038.20735950931</v>
      </c>
      <c r="H32" s="180">
        <f t="shared" si="6"/>
        <v>63767.954800049469</v>
      </c>
      <c r="I32" s="180">
        <f t="shared" si="6"/>
        <v>64344.184251025479</v>
      </c>
      <c r="J32" s="180">
        <f t="shared" si="6"/>
        <v>65882.424692274508</v>
      </c>
      <c r="K32" s="180">
        <f t="shared" si="6"/>
        <v>67342.684493828492</v>
      </c>
      <c r="L32" s="180">
        <f t="shared" si="6"/>
        <v>68822.922643124024</v>
      </c>
      <c r="M32" s="180">
        <f t="shared" si="6"/>
        <v>70336.421176515199</v>
      </c>
      <c r="N32" s="180">
        <f t="shared" si="6"/>
        <v>71501.73280959198</v>
      </c>
      <c r="O32" s="180">
        <f t="shared" si="6"/>
        <v>72939.233883885958</v>
      </c>
      <c r="P32" s="180">
        <f t="shared" si="6"/>
        <v>73796.417176075614</v>
      </c>
      <c r="Q32" s="180">
        <f t="shared" si="6"/>
        <v>75097.490133138344</v>
      </c>
      <c r="R32" s="180">
        <f t="shared" si="6"/>
        <v>66035.927189412352</v>
      </c>
      <c r="S32" s="180">
        <f t="shared" si="6"/>
        <v>58266.847812958498</v>
      </c>
      <c r="T32" s="180">
        <f t="shared" si="6"/>
        <v>58861.05960658261</v>
      </c>
      <c r="U32" s="180">
        <f t="shared" si="6"/>
        <v>59316.0670237218</v>
      </c>
      <c r="V32" s="180">
        <f t="shared" si="6"/>
        <v>376164.85313152976</v>
      </c>
    </row>
    <row r="33" spans="1:22">
      <c r="A33" s="5" t="s">
        <v>68</v>
      </c>
      <c r="B33" s="277">
        <f>[2]!_xludf.xirr(B32:V32,B8:V8)</f>
        <v>0.14006101489067074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208"/>
    </row>
  </sheetData>
  <mergeCells count="1">
    <mergeCell ref="X7:Y7"/>
  </mergeCells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69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2.75"/>
  <cols>
    <col min="1" max="1" width="30.140625" style="5" customWidth="1"/>
    <col min="2" max="2" width="17.140625" style="279" bestFit="1" customWidth="1"/>
    <col min="3" max="4" width="10.28515625" style="279" bestFit="1" customWidth="1"/>
    <col min="5" max="13" width="10.28515625" style="5" bestFit="1" customWidth="1"/>
    <col min="14" max="22" width="10.140625" style="5" bestFit="1" customWidth="1"/>
    <col min="23" max="23" width="11.7109375" style="5" customWidth="1"/>
    <col min="24" max="24" width="20.7109375" style="5" bestFit="1" customWidth="1"/>
    <col min="25" max="25" width="7.28515625" style="5" bestFit="1" customWidth="1"/>
    <col min="26" max="16384" width="9.140625" style="5"/>
  </cols>
  <sheetData>
    <row r="1" spans="1:22">
      <c r="B1" s="5"/>
      <c r="C1" s="5"/>
      <c r="D1" s="5"/>
    </row>
    <row r="2" spans="1:22" ht="18">
      <c r="A2" s="157" t="s">
        <v>103</v>
      </c>
      <c r="C2" s="280"/>
    </row>
    <row r="3" spans="1:22"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s="282" customFormat="1" ht="13.5" thickBot="1">
      <c r="A4" s="162" t="s">
        <v>49</v>
      </c>
      <c r="B4" s="162" t="s">
        <v>92</v>
      </c>
      <c r="C4" s="281">
        <v>37256</v>
      </c>
      <c r="D4" s="281">
        <v>37621</v>
      </c>
      <c r="E4" s="281">
        <v>37986</v>
      </c>
      <c r="F4" s="281">
        <v>38352</v>
      </c>
      <c r="G4" s="281">
        <v>38717</v>
      </c>
      <c r="H4" s="281">
        <v>39082</v>
      </c>
      <c r="I4" s="281">
        <v>39447</v>
      </c>
      <c r="J4" s="281">
        <v>39813</v>
      </c>
      <c r="K4" s="281">
        <v>40178</v>
      </c>
      <c r="L4" s="281">
        <v>40543</v>
      </c>
      <c r="M4" s="281">
        <v>40908</v>
      </c>
      <c r="N4" s="281">
        <v>41274</v>
      </c>
      <c r="O4" s="281">
        <v>41639</v>
      </c>
      <c r="P4" s="281">
        <v>42004</v>
      </c>
      <c r="Q4" s="281">
        <v>42369</v>
      </c>
      <c r="R4" s="281">
        <v>42735</v>
      </c>
      <c r="S4" s="281">
        <v>43100</v>
      </c>
      <c r="T4" s="281">
        <v>43465</v>
      </c>
      <c r="U4" s="281">
        <v>43830</v>
      </c>
      <c r="V4" s="281">
        <v>44196</v>
      </c>
    </row>
    <row r="5" spans="1:22">
      <c r="B5" s="283">
        <v>0</v>
      </c>
      <c r="C5" s="283">
        <v>1</v>
      </c>
      <c r="D5" s="283">
        <v>2</v>
      </c>
      <c r="E5" s="283">
        <f>D5+1</f>
        <v>3</v>
      </c>
      <c r="F5" s="283">
        <f t="shared" ref="F5:V5" si="0">E5+1</f>
        <v>4</v>
      </c>
      <c r="G5" s="283">
        <f t="shared" si="0"/>
        <v>5</v>
      </c>
      <c r="H5" s="283">
        <f t="shared" si="0"/>
        <v>6</v>
      </c>
      <c r="I5" s="283">
        <f t="shared" si="0"/>
        <v>7</v>
      </c>
      <c r="J5" s="283">
        <f t="shared" si="0"/>
        <v>8</v>
      </c>
      <c r="K5" s="283">
        <f t="shared" si="0"/>
        <v>9</v>
      </c>
      <c r="L5" s="283">
        <f t="shared" si="0"/>
        <v>10</v>
      </c>
      <c r="M5" s="283">
        <f t="shared" si="0"/>
        <v>11</v>
      </c>
      <c r="N5" s="283">
        <f t="shared" si="0"/>
        <v>12</v>
      </c>
      <c r="O5" s="283">
        <f t="shared" si="0"/>
        <v>13</v>
      </c>
      <c r="P5" s="283">
        <f t="shared" si="0"/>
        <v>14</v>
      </c>
      <c r="Q5" s="283">
        <f t="shared" si="0"/>
        <v>15</v>
      </c>
      <c r="R5" s="283">
        <f t="shared" si="0"/>
        <v>16</v>
      </c>
      <c r="S5" s="283">
        <f t="shared" si="0"/>
        <v>17</v>
      </c>
      <c r="T5" s="283">
        <f t="shared" si="0"/>
        <v>18</v>
      </c>
      <c r="U5" s="283">
        <f t="shared" si="0"/>
        <v>19</v>
      </c>
      <c r="V5" s="283">
        <f t="shared" si="0"/>
        <v>20</v>
      </c>
    </row>
    <row r="6" spans="1:22" s="1" customFormat="1">
      <c r="A6" s="284" t="s">
        <v>33</v>
      </c>
      <c r="B6" s="283">
        <v>0</v>
      </c>
      <c r="C6" s="283">
        <v>1</v>
      </c>
      <c r="D6" s="283">
        <v>2</v>
      </c>
      <c r="E6" s="283">
        <f>D6+1</f>
        <v>3</v>
      </c>
      <c r="F6" s="283">
        <f t="shared" ref="F6:V6" si="1">E6+1</f>
        <v>4</v>
      </c>
      <c r="G6" s="283">
        <f t="shared" si="1"/>
        <v>5</v>
      </c>
      <c r="H6" s="283">
        <f t="shared" si="1"/>
        <v>6</v>
      </c>
      <c r="I6" s="283">
        <f t="shared" si="1"/>
        <v>7</v>
      </c>
      <c r="J6" s="283">
        <f t="shared" si="1"/>
        <v>8</v>
      </c>
      <c r="K6" s="283">
        <f t="shared" si="1"/>
        <v>9</v>
      </c>
      <c r="L6" s="283">
        <f t="shared" si="1"/>
        <v>10</v>
      </c>
      <c r="M6" s="283">
        <f t="shared" si="1"/>
        <v>11</v>
      </c>
      <c r="N6" s="283">
        <f t="shared" si="1"/>
        <v>12</v>
      </c>
      <c r="O6" s="283">
        <f t="shared" si="1"/>
        <v>13</v>
      </c>
      <c r="P6" s="283">
        <f t="shared" si="1"/>
        <v>14</v>
      </c>
      <c r="Q6" s="283">
        <f t="shared" si="1"/>
        <v>15</v>
      </c>
      <c r="R6" s="283">
        <f t="shared" si="1"/>
        <v>16</v>
      </c>
      <c r="S6" s="283">
        <f t="shared" si="1"/>
        <v>17</v>
      </c>
      <c r="T6" s="283">
        <f t="shared" si="1"/>
        <v>18</v>
      </c>
      <c r="U6" s="283">
        <f t="shared" si="1"/>
        <v>19</v>
      </c>
      <c r="V6" s="283">
        <f t="shared" si="1"/>
        <v>20</v>
      </c>
    </row>
    <row r="7" spans="1:22" s="1" customFormat="1"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</row>
    <row r="8" spans="1:22">
      <c r="A8" s="200" t="s">
        <v>91</v>
      </c>
      <c r="B8" s="5"/>
      <c r="C8" s="5"/>
      <c r="D8" s="5"/>
    </row>
    <row r="9" spans="1:22">
      <c r="A9" s="38" t="s">
        <v>93</v>
      </c>
      <c r="B9" s="285">
        <v>0</v>
      </c>
      <c r="C9" s="285">
        <v>12</v>
      </c>
      <c r="D9" s="285">
        <v>12</v>
      </c>
      <c r="E9" s="285">
        <v>12</v>
      </c>
      <c r="F9" s="285">
        <v>12</v>
      </c>
      <c r="G9" s="285">
        <v>12</v>
      </c>
      <c r="H9" s="285">
        <v>12</v>
      </c>
      <c r="I9" s="285">
        <v>12</v>
      </c>
      <c r="J9" s="285">
        <v>12</v>
      </c>
      <c r="K9" s="285">
        <v>12</v>
      </c>
      <c r="L9" s="285">
        <v>12</v>
      </c>
      <c r="M9" s="285">
        <v>12</v>
      </c>
      <c r="N9" s="285">
        <v>12</v>
      </c>
      <c r="O9" s="285">
        <v>12</v>
      </c>
      <c r="P9" s="285">
        <v>12</v>
      </c>
      <c r="Q9" s="285">
        <v>12</v>
      </c>
      <c r="R9" s="285">
        <v>12</v>
      </c>
      <c r="S9" s="285">
        <v>12</v>
      </c>
      <c r="T9" s="285">
        <v>12</v>
      </c>
      <c r="U9" s="285">
        <v>12</v>
      </c>
      <c r="V9" s="285">
        <v>12</v>
      </c>
    </row>
    <row r="10" spans="1:22">
      <c r="A10" s="5" t="s">
        <v>94</v>
      </c>
      <c r="B10" s="286">
        <v>0</v>
      </c>
      <c r="C10" s="286">
        <f>90%/30</f>
        <v>3.0000000000000002E-2</v>
      </c>
      <c r="D10" s="286">
        <f>90%/30</f>
        <v>3.0000000000000002E-2</v>
      </c>
      <c r="E10" s="286">
        <f t="shared" ref="E10:V10" si="2">90%/30</f>
        <v>3.0000000000000002E-2</v>
      </c>
      <c r="F10" s="286">
        <f t="shared" si="2"/>
        <v>3.0000000000000002E-2</v>
      </c>
      <c r="G10" s="286">
        <f t="shared" si="2"/>
        <v>3.0000000000000002E-2</v>
      </c>
      <c r="H10" s="286">
        <f t="shared" si="2"/>
        <v>3.0000000000000002E-2</v>
      </c>
      <c r="I10" s="286">
        <f t="shared" si="2"/>
        <v>3.0000000000000002E-2</v>
      </c>
      <c r="J10" s="286">
        <f t="shared" si="2"/>
        <v>3.0000000000000002E-2</v>
      </c>
      <c r="K10" s="286">
        <f t="shared" si="2"/>
        <v>3.0000000000000002E-2</v>
      </c>
      <c r="L10" s="286">
        <f t="shared" si="2"/>
        <v>3.0000000000000002E-2</v>
      </c>
      <c r="M10" s="286">
        <f t="shared" si="2"/>
        <v>3.0000000000000002E-2</v>
      </c>
      <c r="N10" s="286">
        <f t="shared" si="2"/>
        <v>3.0000000000000002E-2</v>
      </c>
      <c r="O10" s="286">
        <f t="shared" si="2"/>
        <v>3.0000000000000002E-2</v>
      </c>
      <c r="P10" s="286">
        <f t="shared" si="2"/>
        <v>3.0000000000000002E-2</v>
      </c>
      <c r="Q10" s="286">
        <f t="shared" si="2"/>
        <v>3.0000000000000002E-2</v>
      </c>
      <c r="R10" s="286">
        <f t="shared" si="2"/>
        <v>3.0000000000000002E-2</v>
      </c>
      <c r="S10" s="286">
        <f t="shared" si="2"/>
        <v>3.0000000000000002E-2</v>
      </c>
      <c r="T10" s="286">
        <f t="shared" si="2"/>
        <v>3.0000000000000002E-2</v>
      </c>
      <c r="U10" s="286">
        <f t="shared" si="2"/>
        <v>3.0000000000000002E-2</v>
      </c>
      <c r="V10" s="286">
        <f t="shared" si="2"/>
        <v>3.0000000000000002E-2</v>
      </c>
    </row>
    <row r="11" spans="1:22">
      <c r="B11" s="5"/>
      <c r="C11" s="5"/>
      <c r="D11" s="5"/>
    </row>
    <row r="12" spans="1:22">
      <c r="A12" s="5" t="s">
        <v>95</v>
      </c>
      <c r="B12" s="168">
        <f>'Summary Output'!$G$7*Allocation!$C$6</f>
        <v>233188.81611841641</v>
      </c>
      <c r="C12" s="180">
        <f>B14</f>
        <v>233188.81611841641</v>
      </c>
      <c r="D12" s="180">
        <f>C14</f>
        <v>226193.15163486393</v>
      </c>
      <c r="E12" s="180">
        <f t="shared" ref="E12:V12" si="3">D14</f>
        <v>219197.48715131142</v>
      </c>
      <c r="F12" s="180">
        <f t="shared" si="3"/>
        <v>212201.82266775891</v>
      </c>
      <c r="G12" s="180">
        <f t="shared" si="3"/>
        <v>205206.1581842064</v>
      </c>
      <c r="H12" s="180">
        <f t="shared" si="3"/>
        <v>198210.4937006539</v>
      </c>
      <c r="I12" s="180">
        <f t="shared" si="3"/>
        <v>191214.82921710139</v>
      </c>
      <c r="J12" s="180">
        <f t="shared" si="3"/>
        <v>184219.16473354888</v>
      </c>
      <c r="K12" s="180">
        <f t="shared" si="3"/>
        <v>177223.50024999637</v>
      </c>
      <c r="L12" s="180">
        <f t="shared" si="3"/>
        <v>170227.83576644387</v>
      </c>
      <c r="M12" s="180">
        <f t="shared" si="3"/>
        <v>163232.17128289136</v>
      </c>
      <c r="N12" s="180">
        <f t="shared" si="3"/>
        <v>156236.50679933885</v>
      </c>
      <c r="O12" s="180">
        <f t="shared" si="3"/>
        <v>149240.84231578634</v>
      </c>
      <c r="P12" s="180">
        <f t="shared" si="3"/>
        <v>142245.17783223384</v>
      </c>
      <c r="Q12" s="180">
        <f t="shared" si="3"/>
        <v>135249.51334868133</v>
      </c>
      <c r="R12" s="180">
        <f t="shared" si="3"/>
        <v>128253.84886512884</v>
      </c>
      <c r="S12" s="180">
        <f t="shared" si="3"/>
        <v>121258.18438157634</v>
      </c>
      <c r="T12" s="180">
        <f t="shared" si="3"/>
        <v>114262.51989802385</v>
      </c>
      <c r="U12" s="180">
        <f t="shared" si="3"/>
        <v>107266.85541447136</v>
      </c>
      <c r="V12" s="180">
        <f t="shared" si="3"/>
        <v>100271.19093091886</v>
      </c>
    </row>
    <row r="13" spans="1:22">
      <c r="A13" s="5" t="s">
        <v>96</v>
      </c>
      <c r="B13" s="273">
        <f>$B$12*B10</f>
        <v>0</v>
      </c>
      <c r="C13" s="273">
        <f t="shared" ref="C13:V13" si="4">$B$12*C10</f>
        <v>6995.664483552493</v>
      </c>
      <c r="D13" s="273">
        <f t="shared" si="4"/>
        <v>6995.664483552493</v>
      </c>
      <c r="E13" s="273">
        <f t="shared" si="4"/>
        <v>6995.664483552493</v>
      </c>
      <c r="F13" s="273">
        <f t="shared" si="4"/>
        <v>6995.664483552493</v>
      </c>
      <c r="G13" s="273">
        <f t="shared" si="4"/>
        <v>6995.664483552493</v>
      </c>
      <c r="H13" s="273">
        <f t="shared" si="4"/>
        <v>6995.664483552493</v>
      </c>
      <c r="I13" s="273">
        <f t="shared" si="4"/>
        <v>6995.664483552493</v>
      </c>
      <c r="J13" s="273">
        <f t="shared" si="4"/>
        <v>6995.664483552493</v>
      </c>
      <c r="K13" s="273">
        <f t="shared" si="4"/>
        <v>6995.664483552493</v>
      </c>
      <c r="L13" s="273">
        <f t="shared" si="4"/>
        <v>6995.664483552493</v>
      </c>
      <c r="M13" s="273">
        <f t="shared" si="4"/>
        <v>6995.664483552493</v>
      </c>
      <c r="N13" s="273">
        <f t="shared" si="4"/>
        <v>6995.664483552493</v>
      </c>
      <c r="O13" s="273">
        <f t="shared" si="4"/>
        <v>6995.664483552493</v>
      </c>
      <c r="P13" s="273">
        <f t="shared" si="4"/>
        <v>6995.664483552493</v>
      </c>
      <c r="Q13" s="273">
        <f t="shared" si="4"/>
        <v>6995.664483552493</v>
      </c>
      <c r="R13" s="273">
        <f t="shared" si="4"/>
        <v>6995.664483552493</v>
      </c>
      <c r="S13" s="273">
        <f t="shared" si="4"/>
        <v>6995.664483552493</v>
      </c>
      <c r="T13" s="273">
        <f t="shared" si="4"/>
        <v>6995.664483552493</v>
      </c>
      <c r="U13" s="273">
        <f t="shared" si="4"/>
        <v>6995.664483552493</v>
      </c>
      <c r="V13" s="273">
        <f t="shared" si="4"/>
        <v>6995.664483552493</v>
      </c>
    </row>
    <row r="14" spans="1:22">
      <c r="A14" s="5" t="s">
        <v>97</v>
      </c>
      <c r="B14" s="180">
        <f>B12-B13</f>
        <v>233188.81611841641</v>
      </c>
      <c r="C14" s="180">
        <f>C12-C13</f>
        <v>226193.15163486393</v>
      </c>
      <c r="D14" s="180">
        <f>D12-D13</f>
        <v>219197.48715131142</v>
      </c>
      <c r="E14" s="180">
        <f t="shared" ref="E14:V14" si="5">E12-E13</f>
        <v>212201.82266775891</v>
      </c>
      <c r="F14" s="180">
        <f t="shared" si="5"/>
        <v>205206.1581842064</v>
      </c>
      <c r="G14" s="180">
        <f t="shared" si="5"/>
        <v>198210.4937006539</v>
      </c>
      <c r="H14" s="180">
        <f t="shared" si="5"/>
        <v>191214.82921710139</v>
      </c>
      <c r="I14" s="180">
        <f t="shared" si="5"/>
        <v>184219.16473354888</v>
      </c>
      <c r="J14" s="180">
        <f t="shared" si="5"/>
        <v>177223.50024999637</v>
      </c>
      <c r="K14" s="180">
        <f t="shared" si="5"/>
        <v>170227.83576644387</v>
      </c>
      <c r="L14" s="180">
        <f t="shared" si="5"/>
        <v>163232.17128289136</v>
      </c>
      <c r="M14" s="180">
        <f t="shared" si="5"/>
        <v>156236.50679933885</v>
      </c>
      <c r="N14" s="180">
        <f t="shared" si="5"/>
        <v>149240.84231578634</v>
      </c>
      <c r="O14" s="180">
        <f t="shared" si="5"/>
        <v>142245.17783223384</v>
      </c>
      <c r="P14" s="180">
        <f t="shared" si="5"/>
        <v>135249.51334868133</v>
      </c>
      <c r="Q14" s="180">
        <f t="shared" si="5"/>
        <v>128253.84886512884</v>
      </c>
      <c r="R14" s="180">
        <f t="shared" si="5"/>
        <v>121258.18438157634</v>
      </c>
      <c r="S14" s="180">
        <f t="shared" si="5"/>
        <v>114262.51989802385</v>
      </c>
      <c r="T14" s="180">
        <f t="shared" si="5"/>
        <v>107266.85541447136</v>
      </c>
      <c r="U14" s="180">
        <f t="shared" si="5"/>
        <v>100271.19093091886</v>
      </c>
      <c r="V14" s="180">
        <f t="shared" si="5"/>
        <v>93275.52644736637</v>
      </c>
    </row>
    <row r="15" spans="1:22">
      <c r="B15" s="5"/>
      <c r="C15" s="5"/>
      <c r="D15" s="5"/>
    </row>
    <row r="16" spans="1:22">
      <c r="A16" s="200" t="s">
        <v>8</v>
      </c>
      <c r="B16" s="5"/>
      <c r="C16" s="5"/>
      <c r="D16" s="5"/>
    </row>
    <row r="17" spans="1:25">
      <c r="A17" s="38" t="s">
        <v>93</v>
      </c>
      <c r="B17" s="285">
        <v>0</v>
      </c>
      <c r="C17" s="285">
        <v>12</v>
      </c>
      <c r="D17" s="285">
        <v>12</v>
      </c>
      <c r="E17" s="285">
        <v>12</v>
      </c>
      <c r="F17" s="285">
        <v>12</v>
      </c>
      <c r="G17" s="285">
        <v>12</v>
      </c>
      <c r="H17" s="285">
        <v>12</v>
      </c>
      <c r="I17" s="285">
        <v>12</v>
      </c>
      <c r="J17" s="285">
        <v>12</v>
      </c>
      <c r="K17" s="285">
        <v>12</v>
      </c>
      <c r="L17" s="285">
        <v>12</v>
      </c>
      <c r="M17" s="285">
        <v>12</v>
      </c>
      <c r="N17" s="285">
        <v>12</v>
      </c>
      <c r="O17" s="285">
        <v>12</v>
      </c>
      <c r="P17" s="285">
        <v>12</v>
      </c>
      <c r="Q17" s="285">
        <v>12</v>
      </c>
      <c r="R17" s="285">
        <v>12</v>
      </c>
      <c r="S17" s="285">
        <v>12</v>
      </c>
      <c r="T17" s="285">
        <v>12</v>
      </c>
      <c r="U17" s="285">
        <v>12</v>
      </c>
      <c r="V17" s="285">
        <v>12</v>
      </c>
    </row>
    <row r="18" spans="1:25">
      <c r="A18" s="5" t="s">
        <v>94</v>
      </c>
      <c r="B18" s="286">
        <v>0</v>
      </c>
      <c r="C18" s="286">
        <f>90%/30</f>
        <v>3.0000000000000002E-2</v>
      </c>
      <c r="D18" s="286">
        <f>90%/30</f>
        <v>3.0000000000000002E-2</v>
      </c>
      <c r="E18" s="286">
        <f t="shared" ref="E18:V18" si="6">90%/30</f>
        <v>3.0000000000000002E-2</v>
      </c>
      <c r="F18" s="286">
        <f t="shared" si="6"/>
        <v>3.0000000000000002E-2</v>
      </c>
      <c r="G18" s="286">
        <f t="shared" si="6"/>
        <v>3.0000000000000002E-2</v>
      </c>
      <c r="H18" s="286">
        <f t="shared" si="6"/>
        <v>3.0000000000000002E-2</v>
      </c>
      <c r="I18" s="286">
        <f t="shared" si="6"/>
        <v>3.0000000000000002E-2</v>
      </c>
      <c r="J18" s="286">
        <f t="shared" si="6"/>
        <v>3.0000000000000002E-2</v>
      </c>
      <c r="K18" s="286">
        <f t="shared" si="6"/>
        <v>3.0000000000000002E-2</v>
      </c>
      <c r="L18" s="286">
        <f t="shared" si="6"/>
        <v>3.0000000000000002E-2</v>
      </c>
      <c r="M18" s="286">
        <f t="shared" si="6"/>
        <v>3.0000000000000002E-2</v>
      </c>
      <c r="N18" s="286">
        <f t="shared" si="6"/>
        <v>3.0000000000000002E-2</v>
      </c>
      <c r="O18" s="286">
        <f t="shared" si="6"/>
        <v>3.0000000000000002E-2</v>
      </c>
      <c r="P18" s="286">
        <f t="shared" si="6"/>
        <v>3.0000000000000002E-2</v>
      </c>
      <c r="Q18" s="286">
        <f t="shared" si="6"/>
        <v>3.0000000000000002E-2</v>
      </c>
      <c r="R18" s="286">
        <f t="shared" si="6"/>
        <v>3.0000000000000002E-2</v>
      </c>
      <c r="S18" s="286">
        <f t="shared" si="6"/>
        <v>3.0000000000000002E-2</v>
      </c>
      <c r="T18" s="286">
        <f t="shared" si="6"/>
        <v>3.0000000000000002E-2</v>
      </c>
      <c r="U18" s="286">
        <f t="shared" si="6"/>
        <v>3.0000000000000002E-2</v>
      </c>
      <c r="V18" s="286">
        <f t="shared" si="6"/>
        <v>3.0000000000000002E-2</v>
      </c>
    </row>
    <row r="19" spans="1:25">
      <c r="B19" s="5"/>
      <c r="C19" s="5"/>
      <c r="D19" s="5"/>
      <c r="X19" s="287" t="s">
        <v>75</v>
      </c>
      <c r="Y19" s="288"/>
    </row>
    <row r="20" spans="1:25">
      <c r="A20" s="5" t="s">
        <v>95</v>
      </c>
      <c r="B20" s="168">
        <f>'Summary Output'!$G$7*Allocation!$C$7</f>
        <v>213307.42130443448</v>
      </c>
      <c r="C20" s="180">
        <f>B22</f>
        <v>213307.42130443448</v>
      </c>
      <c r="D20" s="180">
        <f>C22</f>
        <v>206908.19866530143</v>
      </c>
      <c r="E20" s="180">
        <f t="shared" ref="E20:V20" si="7">D22</f>
        <v>200508.97602616838</v>
      </c>
      <c r="F20" s="180">
        <f t="shared" si="7"/>
        <v>194109.75338703534</v>
      </c>
      <c r="G20" s="180">
        <f t="shared" si="7"/>
        <v>187710.53074790229</v>
      </c>
      <c r="H20" s="180">
        <f t="shared" si="7"/>
        <v>181311.30810876924</v>
      </c>
      <c r="I20" s="180">
        <f t="shared" si="7"/>
        <v>174912.08546963619</v>
      </c>
      <c r="J20" s="180">
        <f t="shared" si="7"/>
        <v>168512.86283050315</v>
      </c>
      <c r="K20" s="180">
        <f t="shared" si="7"/>
        <v>162113.6401913701</v>
      </c>
      <c r="L20" s="180">
        <f t="shared" si="7"/>
        <v>155714.41755223705</v>
      </c>
      <c r="M20" s="180">
        <f t="shared" si="7"/>
        <v>149315.194913104</v>
      </c>
      <c r="N20" s="180">
        <f t="shared" si="7"/>
        <v>142915.97227397095</v>
      </c>
      <c r="O20" s="180">
        <f t="shared" si="7"/>
        <v>136516.74963483791</v>
      </c>
      <c r="P20" s="180">
        <f t="shared" si="7"/>
        <v>130117.52699570487</v>
      </c>
      <c r="Q20" s="180">
        <f t="shared" si="7"/>
        <v>123718.30435657184</v>
      </c>
      <c r="R20" s="180">
        <f t="shared" si="7"/>
        <v>117319.08171743881</v>
      </c>
      <c r="S20" s="180">
        <f t="shared" si="7"/>
        <v>110919.85907830577</v>
      </c>
      <c r="T20" s="180">
        <f t="shared" si="7"/>
        <v>104520.63643917274</v>
      </c>
      <c r="U20" s="180">
        <f t="shared" si="7"/>
        <v>98121.413800039707</v>
      </c>
      <c r="V20" s="180">
        <f t="shared" si="7"/>
        <v>91722.191160906674</v>
      </c>
      <c r="X20" s="289"/>
      <c r="Y20" s="290"/>
    </row>
    <row r="21" spans="1:25">
      <c r="A21" s="5" t="s">
        <v>96</v>
      </c>
      <c r="B21" s="273">
        <f t="shared" ref="B21:V21" si="8">$B$20*B18</f>
        <v>0</v>
      </c>
      <c r="C21" s="273">
        <f t="shared" si="8"/>
        <v>6399.222639133035</v>
      </c>
      <c r="D21" s="273">
        <f t="shared" si="8"/>
        <v>6399.222639133035</v>
      </c>
      <c r="E21" s="273">
        <f t="shared" si="8"/>
        <v>6399.222639133035</v>
      </c>
      <c r="F21" s="273">
        <f t="shared" si="8"/>
        <v>6399.222639133035</v>
      </c>
      <c r="G21" s="273">
        <f t="shared" si="8"/>
        <v>6399.222639133035</v>
      </c>
      <c r="H21" s="273">
        <f t="shared" si="8"/>
        <v>6399.222639133035</v>
      </c>
      <c r="I21" s="273">
        <f t="shared" si="8"/>
        <v>6399.222639133035</v>
      </c>
      <c r="J21" s="273">
        <f t="shared" si="8"/>
        <v>6399.222639133035</v>
      </c>
      <c r="K21" s="273">
        <f t="shared" si="8"/>
        <v>6399.222639133035</v>
      </c>
      <c r="L21" s="273">
        <f t="shared" si="8"/>
        <v>6399.222639133035</v>
      </c>
      <c r="M21" s="273">
        <f t="shared" si="8"/>
        <v>6399.222639133035</v>
      </c>
      <c r="N21" s="273">
        <f t="shared" si="8"/>
        <v>6399.222639133035</v>
      </c>
      <c r="O21" s="273">
        <f t="shared" si="8"/>
        <v>6399.222639133035</v>
      </c>
      <c r="P21" s="273">
        <f t="shared" si="8"/>
        <v>6399.222639133035</v>
      </c>
      <c r="Q21" s="273">
        <f t="shared" si="8"/>
        <v>6399.222639133035</v>
      </c>
      <c r="R21" s="273">
        <f t="shared" si="8"/>
        <v>6399.222639133035</v>
      </c>
      <c r="S21" s="273">
        <f t="shared" si="8"/>
        <v>6399.222639133035</v>
      </c>
      <c r="T21" s="273">
        <f t="shared" si="8"/>
        <v>6399.222639133035</v>
      </c>
      <c r="U21" s="273">
        <f t="shared" si="8"/>
        <v>6399.222639133035</v>
      </c>
      <c r="V21" s="273">
        <f t="shared" si="8"/>
        <v>6399.222639133035</v>
      </c>
      <c r="X21" s="291">
        <v>0</v>
      </c>
      <c r="Y21" s="292">
        <v>0</v>
      </c>
    </row>
    <row r="22" spans="1:25">
      <c r="A22" s="5" t="s">
        <v>97</v>
      </c>
      <c r="B22" s="180">
        <f>B20-B21</f>
        <v>213307.42130443448</v>
      </c>
      <c r="C22" s="180">
        <f t="shared" ref="C22:V22" si="9">C20-C21</f>
        <v>206908.19866530143</v>
      </c>
      <c r="D22" s="180">
        <f t="shared" si="9"/>
        <v>200508.97602616838</v>
      </c>
      <c r="E22" s="180">
        <f t="shared" si="9"/>
        <v>194109.75338703534</v>
      </c>
      <c r="F22" s="180">
        <f t="shared" si="9"/>
        <v>187710.53074790229</v>
      </c>
      <c r="G22" s="180">
        <f t="shared" si="9"/>
        <v>181311.30810876924</v>
      </c>
      <c r="H22" s="180">
        <f t="shared" si="9"/>
        <v>174912.08546963619</v>
      </c>
      <c r="I22" s="180">
        <f t="shared" si="9"/>
        <v>168512.86283050315</v>
      </c>
      <c r="J22" s="180">
        <f t="shared" si="9"/>
        <v>162113.6401913701</v>
      </c>
      <c r="K22" s="180">
        <f t="shared" si="9"/>
        <v>155714.41755223705</v>
      </c>
      <c r="L22" s="180">
        <f t="shared" si="9"/>
        <v>149315.194913104</v>
      </c>
      <c r="M22" s="180">
        <f t="shared" si="9"/>
        <v>142915.97227397095</v>
      </c>
      <c r="N22" s="180">
        <f t="shared" si="9"/>
        <v>136516.74963483791</v>
      </c>
      <c r="O22" s="180">
        <f t="shared" si="9"/>
        <v>130117.52699570487</v>
      </c>
      <c r="P22" s="180">
        <f t="shared" si="9"/>
        <v>123718.30435657184</v>
      </c>
      <c r="Q22" s="180">
        <f t="shared" si="9"/>
        <v>117319.08171743881</v>
      </c>
      <c r="R22" s="180">
        <f t="shared" si="9"/>
        <v>110919.85907830577</v>
      </c>
      <c r="S22" s="180">
        <f t="shared" si="9"/>
        <v>104520.63643917274</v>
      </c>
      <c r="T22" s="180">
        <f t="shared" si="9"/>
        <v>98121.413800039707</v>
      </c>
      <c r="U22" s="180">
        <f t="shared" si="9"/>
        <v>91722.191160906674</v>
      </c>
      <c r="V22" s="180">
        <f t="shared" si="9"/>
        <v>85322.968521773641</v>
      </c>
      <c r="X22" s="291">
        <v>1</v>
      </c>
      <c r="Y22" s="292">
        <v>0.05</v>
      </c>
    </row>
    <row r="23" spans="1:25">
      <c r="B23" s="5"/>
      <c r="C23" s="5"/>
      <c r="D23" s="5"/>
      <c r="X23" s="291">
        <v>2</v>
      </c>
      <c r="Y23" s="292">
        <v>9.5000000000000001E-2</v>
      </c>
    </row>
    <row r="24" spans="1:25">
      <c r="A24" s="200" t="s">
        <v>9</v>
      </c>
      <c r="B24" s="5"/>
      <c r="C24" s="5"/>
      <c r="D24" s="5"/>
      <c r="X24" s="291">
        <v>3</v>
      </c>
      <c r="Y24" s="292">
        <v>8.5500000000000007E-2</v>
      </c>
    </row>
    <row r="25" spans="1:25">
      <c r="A25" s="38" t="s">
        <v>93</v>
      </c>
      <c r="B25" s="285">
        <v>0</v>
      </c>
      <c r="C25" s="285">
        <v>12</v>
      </c>
      <c r="D25" s="285">
        <v>12</v>
      </c>
      <c r="E25" s="285">
        <v>12</v>
      </c>
      <c r="F25" s="285">
        <v>12</v>
      </c>
      <c r="G25" s="285">
        <v>12</v>
      </c>
      <c r="H25" s="285">
        <v>12</v>
      </c>
      <c r="I25" s="285">
        <v>12</v>
      </c>
      <c r="J25" s="285">
        <v>12</v>
      </c>
      <c r="K25" s="285">
        <v>12</v>
      </c>
      <c r="L25" s="285">
        <v>12</v>
      </c>
      <c r="M25" s="285">
        <v>12</v>
      </c>
      <c r="N25" s="285">
        <v>12</v>
      </c>
      <c r="O25" s="285">
        <v>12</v>
      </c>
      <c r="P25" s="285">
        <v>12</v>
      </c>
      <c r="Q25" s="285">
        <v>12</v>
      </c>
      <c r="R25" s="285">
        <v>12</v>
      </c>
      <c r="S25" s="285">
        <v>12</v>
      </c>
      <c r="T25" s="285">
        <v>12</v>
      </c>
      <c r="U25" s="285">
        <v>12</v>
      </c>
      <c r="V25" s="285">
        <v>12</v>
      </c>
      <c r="X25" s="291">
        <v>4</v>
      </c>
      <c r="Y25" s="292">
        <v>7.6999999999999999E-2</v>
      </c>
    </row>
    <row r="26" spans="1:25">
      <c r="A26" s="5" t="s">
        <v>94</v>
      </c>
      <c r="B26" s="286">
        <v>0</v>
      </c>
      <c r="C26" s="286">
        <f>90%/30</f>
        <v>3.0000000000000002E-2</v>
      </c>
      <c r="D26" s="286">
        <f>90%/30</f>
        <v>3.0000000000000002E-2</v>
      </c>
      <c r="E26" s="286">
        <f t="shared" ref="E26:V26" si="10">90%/30</f>
        <v>3.0000000000000002E-2</v>
      </c>
      <c r="F26" s="286">
        <f t="shared" si="10"/>
        <v>3.0000000000000002E-2</v>
      </c>
      <c r="G26" s="286">
        <f t="shared" si="10"/>
        <v>3.0000000000000002E-2</v>
      </c>
      <c r="H26" s="286">
        <f t="shared" si="10"/>
        <v>3.0000000000000002E-2</v>
      </c>
      <c r="I26" s="286">
        <f t="shared" si="10"/>
        <v>3.0000000000000002E-2</v>
      </c>
      <c r="J26" s="286">
        <f t="shared" si="10"/>
        <v>3.0000000000000002E-2</v>
      </c>
      <c r="K26" s="286">
        <f t="shared" si="10"/>
        <v>3.0000000000000002E-2</v>
      </c>
      <c r="L26" s="286">
        <f t="shared" si="10"/>
        <v>3.0000000000000002E-2</v>
      </c>
      <c r="M26" s="286">
        <f t="shared" si="10"/>
        <v>3.0000000000000002E-2</v>
      </c>
      <c r="N26" s="286">
        <f t="shared" si="10"/>
        <v>3.0000000000000002E-2</v>
      </c>
      <c r="O26" s="286">
        <f t="shared" si="10"/>
        <v>3.0000000000000002E-2</v>
      </c>
      <c r="P26" s="286">
        <f t="shared" si="10"/>
        <v>3.0000000000000002E-2</v>
      </c>
      <c r="Q26" s="286">
        <f t="shared" si="10"/>
        <v>3.0000000000000002E-2</v>
      </c>
      <c r="R26" s="286">
        <f t="shared" si="10"/>
        <v>3.0000000000000002E-2</v>
      </c>
      <c r="S26" s="286">
        <f t="shared" si="10"/>
        <v>3.0000000000000002E-2</v>
      </c>
      <c r="T26" s="286">
        <f t="shared" si="10"/>
        <v>3.0000000000000002E-2</v>
      </c>
      <c r="U26" s="286">
        <f t="shared" si="10"/>
        <v>3.0000000000000002E-2</v>
      </c>
      <c r="V26" s="286">
        <f t="shared" si="10"/>
        <v>3.0000000000000002E-2</v>
      </c>
      <c r="X26" s="291">
        <v>5</v>
      </c>
      <c r="Y26" s="292">
        <v>6.93E-2</v>
      </c>
    </row>
    <row r="27" spans="1:25">
      <c r="B27" s="5"/>
      <c r="C27" s="5"/>
      <c r="D27" s="5"/>
      <c r="X27" s="291">
        <v>6</v>
      </c>
      <c r="Y27" s="292">
        <v>6.2300000000000001E-2</v>
      </c>
    </row>
    <row r="28" spans="1:25">
      <c r="A28" s="5" t="s">
        <v>95</v>
      </c>
      <c r="B28" s="168">
        <f>'Summary Output'!$G$7*Allocation!$C$8</f>
        <v>343425.57448072976</v>
      </c>
      <c r="C28" s="180">
        <f>B30</f>
        <v>343425.57448072976</v>
      </c>
      <c r="D28" s="180">
        <f>C30</f>
        <v>333122.80724630784</v>
      </c>
      <c r="E28" s="180">
        <f t="shared" ref="E28:V28" si="11">D30</f>
        <v>322820.04001188593</v>
      </c>
      <c r="F28" s="180">
        <f t="shared" si="11"/>
        <v>312517.27277746401</v>
      </c>
      <c r="G28" s="180">
        <f t="shared" si="11"/>
        <v>302214.50554304209</v>
      </c>
      <c r="H28" s="180">
        <f t="shared" si="11"/>
        <v>291911.73830862017</v>
      </c>
      <c r="I28" s="180">
        <f t="shared" si="11"/>
        <v>281608.97107419826</v>
      </c>
      <c r="J28" s="180">
        <f t="shared" si="11"/>
        <v>271306.20383977634</v>
      </c>
      <c r="K28" s="180">
        <f t="shared" si="11"/>
        <v>261003.43660535445</v>
      </c>
      <c r="L28" s="180">
        <f t="shared" si="11"/>
        <v>250700.66937093256</v>
      </c>
      <c r="M28" s="180">
        <f t="shared" si="11"/>
        <v>240397.90213651067</v>
      </c>
      <c r="N28" s="180">
        <f t="shared" si="11"/>
        <v>230095.13490208879</v>
      </c>
      <c r="O28" s="180">
        <f t="shared" si="11"/>
        <v>219792.3676676669</v>
      </c>
      <c r="P28" s="180">
        <f t="shared" si="11"/>
        <v>209489.60043324501</v>
      </c>
      <c r="Q28" s="180">
        <f t="shared" si="11"/>
        <v>199186.83319882312</v>
      </c>
      <c r="R28" s="180">
        <f t="shared" si="11"/>
        <v>188884.06596440123</v>
      </c>
      <c r="S28" s="180">
        <f t="shared" si="11"/>
        <v>178581.29872997935</v>
      </c>
      <c r="T28" s="180">
        <f t="shared" si="11"/>
        <v>168278.53149555746</v>
      </c>
      <c r="U28" s="180">
        <f t="shared" si="11"/>
        <v>157975.76426113557</v>
      </c>
      <c r="V28" s="180">
        <f t="shared" si="11"/>
        <v>147672.99702671368</v>
      </c>
      <c r="X28" s="291">
        <v>7</v>
      </c>
      <c r="Y28" s="292">
        <v>5.8999999999999997E-2</v>
      </c>
    </row>
    <row r="29" spans="1:25">
      <c r="A29" s="5" t="s">
        <v>96</v>
      </c>
      <c r="B29" s="273">
        <f t="shared" ref="B29:V29" si="12">$B$28*B26</f>
        <v>0</v>
      </c>
      <c r="C29" s="273">
        <f t="shared" si="12"/>
        <v>10302.767234421894</v>
      </c>
      <c r="D29" s="273">
        <f t="shared" si="12"/>
        <v>10302.767234421894</v>
      </c>
      <c r="E29" s="273">
        <f t="shared" si="12"/>
        <v>10302.767234421894</v>
      </c>
      <c r="F29" s="273">
        <f t="shared" si="12"/>
        <v>10302.767234421894</v>
      </c>
      <c r="G29" s="273">
        <f t="shared" si="12"/>
        <v>10302.767234421894</v>
      </c>
      <c r="H29" s="273">
        <f t="shared" si="12"/>
        <v>10302.767234421894</v>
      </c>
      <c r="I29" s="273">
        <f t="shared" si="12"/>
        <v>10302.767234421894</v>
      </c>
      <c r="J29" s="273">
        <f t="shared" si="12"/>
        <v>10302.767234421894</v>
      </c>
      <c r="K29" s="273">
        <f t="shared" si="12"/>
        <v>10302.767234421894</v>
      </c>
      <c r="L29" s="273">
        <f t="shared" si="12"/>
        <v>10302.767234421894</v>
      </c>
      <c r="M29" s="273">
        <f t="shared" si="12"/>
        <v>10302.767234421894</v>
      </c>
      <c r="N29" s="273">
        <f t="shared" si="12"/>
        <v>10302.767234421894</v>
      </c>
      <c r="O29" s="273">
        <f t="shared" si="12"/>
        <v>10302.767234421894</v>
      </c>
      <c r="P29" s="273">
        <f t="shared" si="12"/>
        <v>10302.767234421894</v>
      </c>
      <c r="Q29" s="273">
        <f t="shared" si="12"/>
        <v>10302.767234421894</v>
      </c>
      <c r="R29" s="273">
        <f t="shared" si="12"/>
        <v>10302.767234421894</v>
      </c>
      <c r="S29" s="273">
        <f t="shared" si="12"/>
        <v>10302.767234421894</v>
      </c>
      <c r="T29" s="273">
        <f t="shared" si="12"/>
        <v>10302.767234421894</v>
      </c>
      <c r="U29" s="273">
        <f t="shared" si="12"/>
        <v>10302.767234421894</v>
      </c>
      <c r="V29" s="273">
        <f t="shared" si="12"/>
        <v>10302.767234421894</v>
      </c>
      <c r="X29" s="291">
        <v>8</v>
      </c>
      <c r="Y29" s="292">
        <v>5.91E-2</v>
      </c>
    </row>
    <row r="30" spans="1:25">
      <c r="A30" s="5" t="s">
        <v>97</v>
      </c>
      <c r="B30" s="180">
        <f>B28-B29</f>
        <v>343425.57448072976</v>
      </c>
      <c r="C30" s="180">
        <f t="shared" ref="C30:V30" si="13">C28-C29</f>
        <v>333122.80724630784</v>
      </c>
      <c r="D30" s="180">
        <f t="shared" si="13"/>
        <v>322820.04001188593</v>
      </c>
      <c r="E30" s="180">
        <f t="shared" si="13"/>
        <v>312517.27277746401</v>
      </c>
      <c r="F30" s="180">
        <f t="shared" si="13"/>
        <v>302214.50554304209</v>
      </c>
      <c r="G30" s="180">
        <f t="shared" si="13"/>
        <v>291911.73830862017</v>
      </c>
      <c r="H30" s="180">
        <f t="shared" si="13"/>
        <v>281608.97107419826</v>
      </c>
      <c r="I30" s="180">
        <f t="shared" si="13"/>
        <v>271306.20383977634</v>
      </c>
      <c r="J30" s="180">
        <f t="shared" si="13"/>
        <v>261003.43660535445</v>
      </c>
      <c r="K30" s="180">
        <f t="shared" si="13"/>
        <v>250700.66937093256</v>
      </c>
      <c r="L30" s="180">
        <f t="shared" si="13"/>
        <v>240397.90213651067</v>
      </c>
      <c r="M30" s="180">
        <f t="shared" si="13"/>
        <v>230095.13490208879</v>
      </c>
      <c r="N30" s="180">
        <f t="shared" si="13"/>
        <v>219792.3676676669</v>
      </c>
      <c r="O30" s="180">
        <f t="shared" si="13"/>
        <v>209489.60043324501</v>
      </c>
      <c r="P30" s="180">
        <f t="shared" si="13"/>
        <v>199186.83319882312</v>
      </c>
      <c r="Q30" s="180">
        <f t="shared" si="13"/>
        <v>188884.06596440123</v>
      </c>
      <c r="R30" s="180">
        <f t="shared" si="13"/>
        <v>178581.29872997935</v>
      </c>
      <c r="S30" s="180">
        <f t="shared" si="13"/>
        <v>168278.53149555746</v>
      </c>
      <c r="T30" s="180">
        <f t="shared" si="13"/>
        <v>157975.76426113557</v>
      </c>
      <c r="U30" s="180">
        <f t="shared" si="13"/>
        <v>147672.99702671368</v>
      </c>
      <c r="V30" s="180">
        <f t="shared" si="13"/>
        <v>137370.22979229179</v>
      </c>
      <c r="X30" s="291">
        <v>9</v>
      </c>
      <c r="Y30" s="292">
        <v>5.8999999999999997E-2</v>
      </c>
    </row>
    <row r="31" spans="1:25">
      <c r="B31" s="5"/>
      <c r="C31" s="5"/>
      <c r="D31" s="5"/>
      <c r="X31" s="291">
        <v>10</v>
      </c>
      <c r="Y31" s="292">
        <v>5.91E-2</v>
      </c>
    </row>
    <row r="32" spans="1:25">
      <c r="A32" s="200" t="s">
        <v>98</v>
      </c>
      <c r="B32" s="5"/>
      <c r="C32" s="5"/>
      <c r="D32" s="5"/>
      <c r="X32" s="291">
        <v>11</v>
      </c>
      <c r="Y32" s="292">
        <v>5.8999999999999997E-2</v>
      </c>
    </row>
    <row r="33" spans="1:25">
      <c r="A33" s="5" t="s">
        <v>95</v>
      </c>
      <c r="B33" s="293">
        <f>SUM(B20,B28,B12)</f>
        <v>789921.81190358056</v>
      </c>
      <c r="C33" s="293">
        <f>B35</f>
        <v>789921.81190358056</v>
      </c>
      <c r="D33" s="293">
        <f t="shared" ref="D33:V33" si="14">C35</f>
        <v>766224.15754647308</v>
      </c>
      <c r="E33" s="293">
        <f t="shared" si="14"/>
        <v>742526.50318936561</v>
      </c>
      <c r="F33" s="293">
        <f t="shared" si="14"/>
        <v>718828.84883225814</v>
      </c>
      <c r="G33" s="293">
        <f t="shared" si="14"/>
        <v>695131.19447515067</v>
      </c>
      <c r="H33" s="293">
        <f t="shared" si="14"/>
        <v>671433.54011804319</v>
      </c>
      <c r="I33" s="293">
        <f t="shared" si="14"/>
        <v>647735.88576093572</v>
      </c>
      <c r="J33" s="293">
        <f t="shared" si="14"/>
        <v>624038.23140382825</v>
      </c>
      <c r="K33" s="293">
        <f t="shared" si="14"/>
        <v>600340.57704672078</v>
      </c>
      <c r="L33" s="293">
        <f t="shared" si="14"/>
        <v>576642.9226896133</v>
      </c>
      <c r="M33" s="293">
        <f t="shared" si="14"/>
        <v>552945.26833250583</v>
      </c>
      <c r="N33" s="293">
        <f t="shared" si="14"/>
        <v>529247.61397539836</v>
      </c>
      <c r="O33" s="293">
        <f t="shared" si="14"/>
        <v>505549.95961829094</v>
      </c>
      <c r="P33" s="293">
        <f t="shared" si="14"/>
        <v>481852.30526118353</v>
      </c>
      <c r="Q33" s="293">
        <f t="shared" si="14"/>
        <v>458154.65090407612</v>
      </c>
      <c r="R33" s="293">
        <f t="shared" si="14"/>
        <v>434456.9965469687</v>
      </c>
      <c r="S33" s="293">
        <f t="shared" si="14"/>
        <v>410759.34218986129</v>
      </c>
      <c r="T33" s="293">
        <f t="shared" si="14"/>
        <v>387061.68783275387</v>
      </c>
      <c r="U33" s="293">
        <f t="shared" si="14"/>
        <v>363364.03347564646</v>
      </c>
      <c r="V33" s="293">
        <f t="shared" si="14"/>
        <v>339666.37911853904</v>
      </c>
      <c r="X33" s="291">
        <v>12</v>
      </c>
      <c r="Y33" s="292">
        <v>5.91E-2</v>
      </c>
    </row>
    <row r="34" spans="1:25">
      <c r="A34" s="5" t="s">
        <v>96</v>
      </c>
      <c r="B34" s="294">
        <f>SUM(B21,B29,B13)</f>
        <v>0</v>
      </c>
      <c r="C34" s="294">
        <f t="shared" ref="C34:V34" si="15">SUM(C21,C29,C13)</f>
        <v>23697.654357107422</v>
      </c>
      <c r="D34" s="294">
        <f t="shared" si="15"/>
        <v>23697.654357107422</v>
      </c>
      <c r="E34" s="294">
        <f t="shared" si="15"/>
        <v>23697.654357107422</v>
      </c>
      <c r="F34" s="294">
        <f t="shared" si="15"/>
        <v>23697.654357107422</v>
      </c>
      <c r="G34" s="294">
        <f t="shared" si="15"/>
        <v>23697.654357107422</v>
      </c>
      <c r="H34" s="294">
        <f t="shared" si="15"/>
        <v>23697.654357107422</v>
      </c>
      <c r="I34" s="294">
        <f t="shared" si="15"/>
        <v>23697.654357107422</v>
      </c>
      <c r="J34" s="294">
        <f t="shared" si="15"/>
        <v>23697.654357107422</v>
      </c>
      <c r="K34" s="294">
        <f t="shared" si="15"/>
        <v>23697.654357107422</v>
      </c>
      <c r="L34" s="294">
        <f t="shared" si="15"/>
        <v>23697.654357107422</v>
      </c>
      <c r="M34" s="294">
        <f t="shared" si="15"/>
        <v>23697.654357107422</v>
      </c>
      <c r="N34" s="294">
        <f t="shared" si="15"/>
        <v>23697.654357107422</v>
      </c>
      <c r="O34" s="294">
        <f t="shared" si="15"/>
        <v>23697.654357107422</v>
      </c>
      <c r="P34" s="294">
        <f t="shared" si="15"/>
        <v>23697.654357107422</v>
      </c>
      <c r="Q34" s="294">
        <f t="shared" si="15"/>
        <v>23697.654357107422</v>
      </c>
      <c r="R34" s="294">
        <f t="shared" si="15"/>
        <v>23697.654357107422</v>
      </c>
      <c r="S34" s="294">
        <f t="shared" si="15"/>
        <v>23697.654357107422</v>
      </c>
      <c r="T34" s="294">
        <f t="shared" si="15"/>
        <v>23697.654357107422</v>
      </c>
      <c r="U34" s="294">
        <f t="shared" si="15"/>
        <v>23697.654357107422</v>
      </c>
      <c r="V34" s="294">
        <f t="shared" si="15"/>
        <v>23697.654357107422</v>
      </c>
      <c r="X34" s="291">
        <v>13</v>
      </c>
      <c r="Y34" s="292">
        <v>5.8999999999999997E-2</v>
      </c>
    </row>
    <row r="35" spans="1:25">
      <c r="A35" s="5" t="s">
        <v>97</v>
      </c>
      <c r="B35" s="293">
        <f>B33-B34</f>
        <v>789921.81190358056</v>
      </c>
      <c r="C35" s="293">
        <f t="shared" ref="C35:V35" si="16">C33-C34</f>
        <v>766224.15754647308</v>
      </c>
      <c r="D35" s="293">
        <f t="shared" si="16"/>
        <v>742526.50318936561</v>
      </c>
      <c r="E35" s="293">
        <f t="shared" si="16"/>
        <v>718828.84883225814</v>
      </c>
      <c r="F35" s="293">
        <f t="shared" si="16"/>
        <v>695131.19447515067</v>
      </c>
      <c r="G35" s="293">
        <f t="shared" si="16"/>
        <v>671433.54011804319</v>
      </c>
      <c r="H35" s="293">
        <f t="shared" si="16"/>
        <v>647735.88576093572</v>
      </c>
      <c r="I35" s="293">
        <f t="shared" si="16"/>
        <v>624038.23140382825</v>
      </c>
      <c r="J35" s="293">
        <f t="shared" si="16"/>
        <v>600340.57704672078</v>
      </c>
      <c r="K35" s="293">
        <f t="shared" si="16"/>
        <v>576642.9226896133</v>
      </c>
      <c r="L35" s="293">
        <f t="shared" si="16"/>
        <v>552945.26833250583</v>
      </c>
      <c r="M35" s="293">
        <f t="shared" si="16"/>
        <v>529247.61397539836</v>
      </c>
      <c r="N35" s="293">
        <f t="shared" si="16"/>
        <v>505549.95961829094</v>
      </c>
      <c r="O35" s="293">
        <f t="shared" si="16"/>
        <v>481852.30526118353</v>
      </c>
      <c r="P35" s="293">
        <f t="shared" si="16"/>
        <v>458154.65090407612</v>
      </c>
      <c r="Q35" s="293">
        <f t="shared" si="16"/>
        <v>434456.9965469687</v>
      </c>
      <c r="R35" s="293">
        <f t="shared" si="16"/>
        <v>410759.34218986129</v>
      </c>
      <c r="S35" s="293">
        <f t="shared" si="16"/>
        <v>387061.68783275387</v>
      </c>
      <c r="T35" s="293">
        <f t="shared" si="16"/>
        <v>363364.03347564646</v>
      </c>
      <c r="U35" s="293">
        <f t="shared" si="16"/>
        <v>339666.37911853904</v>
      </c>
      <c r="V35" s="293">
        <f t="shared" si="16"/>
        <v>315968.72476143163</v>
      </c>
      <c r="X35" s="291">
        <v>14</v>
      </c>
      <c r="Y35" s="292">
        <v>5.91E-2</v>
      </c>
    </row>
    <row r="36" spans="1:25">
      <c r="B36" s="295"/>
      <c r="C36" s="5"/>
      <c r="D36" s="5"/>
      <c r="V36" s="296"/>
      <c r="X36" s="291">
        <v>15</v>
      </c>
      <c r="Y36" s="292">
        <v>5.8999999999999997E-2</v>
      </c>
    </row>
    <row r="37" spans="1:25">
      <c r="B37" s="5"/>
      <c r="C37" s="5"/>
      <c r="D37" s="5"/>
      <c r="X37" s="291">
        <v>16</v>
      </c>
      <c r="Y37" s="297">
        <v>2.9499999999999998E-2</v>
      </c>
    </row>
    <row r="38" spans="1:25">
      <c r="A38" s="284" t="s">
        <v>102</v>
      </c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1"/>
      <c r="X38" s="298"/>
      <c r="Y38" s="299">
        <f>SUM(Y22:Y37)</f>
        <v>1.0000000000000004</v>
      </c>
    </row>
    <row r="39" spans="1:25">
      <c r="A39" s="1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1"/>
    </row>
    <row r="40" spans="1:25">
      <c r="A40" s="200" t="s">
        <v>104</v>
      </c>
      <c r="B40" s="5"/>
      <c r="C40" s="5"/>
      <c r="D40" s="5"/>
    </row>
    <row r="41" spans="1:25">
      <c r="A41" s="200"/>
      <c r="B41" s="5"/>
      <c r="C41" s="5"/>
      <c r="D41" s="5"/>
    </row>
    <row r="42" spans="1:25">
      <c r="A42" s="300" t="s">
        <v>91</v>
      </c>
    </row>
    <row r="43" spans="1:25">
      <c r="A43" s="5" t="s">
        <v>106</v>
      </c>
      <c r="B43" s="278">
        <f>'Summary Output'!$G$7*Allocation!$C$6</f>
        <v>233188.81611841641</v>
      </c>
      <c r="C43" s="278">
        <f t="shared" ref="C43:V43" si="17">B46</f>
        <v>233188.81611841641</v>
      </c>
      <c r="D43" s="278">
        <f t="shared" si="17"/>
        <v>221529.37531249557</v>
      </c>
      <c r="E43" s="278">
        <f t="shared" si="17"/>
        <v>199376.437781246</v>
      </c>
      <c r="F43" s="278">
        <f t="shared" si="17"/>
        <v>179438.79400312138</v>
      </c>
      <c r="G43" s="278">
        <f t="shared" si="17"/>
        <v>161483.2551620033</v>
      </c>
      <c r="H43" s="278">
        <f t="shared" si="17"/>
        <v>145323.27020499704</v>
      </c>
      <c r="I43" s="278">
        <f t="shared" si="17"/>
        <v>130795.6069608197</v>
      </c>
      <c r="J43" s="278">
        <f t="shared" si="17"/>
        <v>117037.46680983313</v>
      </c>
      <c r="K43" s="278">
        <f t="shared" si="17"/>
        <v>103256.00777723471</v>
      </c>
      <c r="L43" s="278">
        <f t="shared" si="17"/>
        <v>89497.867626248146</v>
      </c>
      <c r="M43" s="278">
        <f t="shared" si="17"/>
        <v>75716.408593649743</v>
      </c>
      <c r="N43" s="278">
        <f t="shared" si="17"/>
        <v>61958.268442663175</v>
      </c>
      <c r="O43" s="278">
        <f t="shared" si="17"/>
        <v>48176.809410064765</v>
      </c>
      <c r="P43" s="278">
        <f t="shared" si="17"/>
        <v>34418.669259078197</v>
      </c>
      <c r="Q43" s="278">
        <f t="shared" si="17"/>
        <v>20637.210226479787</v>
      </c>
      <c r="R43" s="278">
        <f t="shared" si="17"/>
        <v>6879.0700754932204</v>
      </c>
      <c r="S43" s="278">
        <f t="shared" si="17"/>
        <v>-6.2755134422332048E-11</v>
      </c>
      <c r="T43" s="278">
        <f t="shared" si="17"/>
        <v>-6.2755134422332048E-11</v>
      </c>
      <c r="U43" s="278">
        <f t="shared" si="17"/>
        <v>-6.2755134422332048E-11</v>
      </c>
      <c r="V43" s="278">
        <f t="shared" si="17"/>
        <v>-6.2755134422332048E-11</v>
      </c>
    </row>
    <row r="44" spans="1:25">
      <c r="A44" s="5" t="s">
        <v>94</v>
      </c>
      <c r="B44" s="301">
        <f t="shared" ref="B44:R44" si="18">VLOOKUP(B6,$X$21:$Y$37,2)</f>
        <v>0</v>
      </c>
      <c r="C44" s="301">
        <f t="shared" si="18"/>
        <v>0.05</v>
      </c>
      <c r="D44" s="301">
        <f t="shared" si="18"/>
        <v>9.5000000000000001E-2</v>
      </c>
      <c r="E44" s="301">
        <f t="shared" si="18"/>
        <v>8.5500000000000007E-2</v>
      </c>
      <c r="F44" s="301">
        <f t="shared" si="18"/>
        <v>7.6999999999999999E-2</v>
      </c>
      <c r="G44" s="301">
        <f t="shared" si="18"/>
        <v>6.93E-2</v>
      </c>
      <c r="H44" s="301">
        <f t="shared" si="18"/>
        <v>6.2300000000000001E-2</v>
      </c>
      <c r="I44" s="301">
        <f t="shared" si="18"/>
        <v>5.8999999999999997E-2</v>
      </c>
      <c r="J44" s="301">
        <f t="shared" si="18"/>
        <v>5.91E-2</v>
      </c>
      <c r="K44" s="301">
        <f t="shared" si="18"/>
        <v>5.8999999999999997E-2</v>
      </c>
      <c r="L44" s="301">
        <f t="shared" si="18"/>
        <v>5.91E-2</v>
      </c>
      <c r="M44" s="301">
        <f t="shared" si="18"/>
        <v>5.8999999999999997E-2</v>
      </c>
      <c r="N44" s="301">
        <f t="shared" si="18"/>
        <v>5.91E-2</v>
      </c>
      <c r="O44" s="301">
        <f t="shared" si="18"/>
        <v>5.8999999999999997E-2</v>
      </c>
      <c r="P44" s="301">
        <f t="shared" si="18"/>
        <v>5.91E-2</v>
      </c>
      <c r="Q44" s="301">
        <f t="shared" si="18"/>
        <v>5.8999999999999997E-2</v>
      </c>
      <c r="R44" s="301">
        <f t="shared" si="18"/>
        <v>2.9499999999999998E-2</v>
      </c>
      <c r="S44" s="301">
        <v>0</v>
      </c>
      <c r="T44" s="301">
        <v>0</v>
      </c>
      <c r="U44" s="301">
        <v>0</v>
      </c>
      <c r="V44" s="301">
        <v>0</v>
      </c>
    </row>
    <row r="45" spans="1:25">
      <c r="A45" s="5" t="s">
        <v>96</v>
      </c>
      <c r="B45" s="272">
        <f>$B$43*B44</f>
        <v>0</v>
      </c>
      <c r="C45" s="272">
        <f t="shared" ref="C45:V45" si="19">$B$43*C44</f>
        <v>11659.440805920822</v>
      </c>
      <c r="D45" s="272">
        <f t="shared" si="19"/>
        <v>22152.937531249558</v>
      </c>
      <c r="E45" s="272">
        <f t="shared" si="19"/>
        <v>19937.643778124606</v>
      </c>
      <c r="F45" s="272">
        <f t="shared" si="19"/>
        <v>17955.538841118065</v>
      </c>
      <c r="G45" s="272">
        <f t="shared" si="19"/>
        <v>16159.984957006258</v>
      </c>
      <c r="H45" s="272">
        <f t="shared" si="19"/>
        <v>14527.663244177342</v>
      </c>
      <c r="I45" s="272">
        <f t="shared" si="19"/>
        <v>13758.140150986566</v>
      </c>
      <c r="J45" s="272">
        <f t="shared" si="19"/>
        <v>13781.45903259841</v>
      </c>
      <c r="K45" s="272">
        <f t="shared" si="19"/>
        <v>13758.140150986566</v>
      </c>
      <c r="L45" s="272">
        <f t="shared" si="19"/>
        <v>13781.45903259841</v>
      </c>
      <c r="M45" s="272">
        <f t="shared" si="19"/>
        <v>13758.140150986566</v>
      </c>
      <c r="N45" s="272">
        <f t="shared" si="19"/>
        <v>13781.45903259841</v>
      </c>
      <c r="O45" s="272">
        <f t="shared" si="19"/>
        <v>13758.140150986566</v>
      </c>
      <c r="P45" s="272">
        <f t="shared" si="19"/>
        <v>13781.45903259841</v>
      </c>
      <c r="Q45" s="272">
        <f t="shared" si="19"/>
        <v>13758.140150986566</v>
      </c>
      <c r="R45" s="272">
        <f t="shared" si="19"/>
        <v>6879.0700754932832</v>
      </c>
      <c r="S45" s="272">
        <f t="shared" si="19"/>
        <v>0</v>
      </c>
      <c r="T45" s="272">
        <f t="shared" si="19"/>
        <v>0</v>
      </c>
      <c r="U45" s="272">
        <f t="shared" si="19"/>
        <v>0</v>
      </c>
      <c r="V45" s="272">
        <f t="shared" si="19"/>
        <v>0</v>
      </c>
    </row>
    <row r="46" spans="1:25">
      <c r="A46" s="5" t="s">
        <v>105</v>
      </c>
      <c r="B46" s="180">
        <f t="shared" ref="B46:V46" si="20">B43-B45</f>
        <v>233188.81611841641</v>
      </c>
      <c r="C46" s="180">
        <f t="shared" si="20"/>
        <v>221529.37531249557</v>
      </c>
      <c r="D46" s="180">
        <f t="shared" si="20"/>
        <v>199376.437781246</v>
      </c>
      <c r="E46" s="180">
        <f t="shared" si="20"/>
        <v>179438.79400312138</v>
      </c>
      <c r="F46" s="180">
        <f t="shared" si="20"/>
        <v>161483.2551620033</v>
      </c>
      <c r="G46" s="180">
        <f t="shared" si="20"/>
        <v>145323.27020499704</v>
      </c>
      <c r="H46" s="180">
        <f t="shared" si="20"/>
        <v>130795.6069608197</v>
      </c>
      <c r="I46" s="180">
        <f t="shared" si="20"/>
        <v>117037.46680983313</v>
      </c>
      <c r="J46" s="180">
        <f t="shared" si="20"/>
        <v>103256.00777723471</v>
      </c>
      <c r="K46" s="180">
        <f t="shared" si="20"/>
        <v>89497.867626248146</v>
      </c>
      <c r="L46" s="180">
        <f t="shared" si="20"/>
        <v>75716.408593649743</v>
      </c>
      <c r="M46" s="180">
        <f t="shared" si="20"/>
        <v>61958.268442663175</v>
      </c>
      <c r="N46" s="180">
        <f t="shared" si="20"/>
        <v>48176.809410064765</v>
      </c>
      <c r="O46" s="180">
        <f t="shared" si="20"/>
        <v>34418.669259078197</v>
      </c>
      <c r="P46" s="180">
        <f t="shared" si="20"/>
        <v>20637.210226479787</v>
      </c>
      <c r="Q46" s="180">
        <f t="shared" si="20"/>
        <v>6879.0700754932204</v>
      </c>
      <c r="R46" s="180">
        <f t="shared" si="20"/>
        <v>-6.2755134422332048E-11</v>
      </c>
      <c r="S46" s="180">
        <f t="shared" si="20"/>
        <v>-6.2755134422332048E-11</v>
      </c>
      <c r="T46" s="180">
        <f t="shared" si="20"/>
        <v>-6.2755134422332048E-11</v>
      </c>
      <c r="U46" s="180">
        <f t="shared" si="20"/>
        <v>-6.2755134422332048E-11</v>
      </c>
      <c r="V46" s="180">
        <f t="shared" si="20"/>
        <v>-6.2755134422332048E-11</v>
      </c>
    </row>
    <row r="48" spans="1:25">
      <c r="A48" s="300" t="s">
        <v>8</v>
      </c>
    </row>
    <row r="49" spans="1:22">
      <c r="A49" s="5" t="s">
        <v>106</v>
      </c>
      <c r="B49" s="278">
        <f>'Summary Output'!$G$7*Allocation!$C$7</f>
        <v>213307.42130443448</v>
      </c>
      <c r="C49" s="278">
        <f t="shared" ref="C49:V49" si="21">B52</f>
        <v>213307.42130443448</v>
      </c>
      <c r="D49" s="278">
        <f t="shared" si="21"/>
        <v>202642.05023921275</v>
      </c>
      <c r="E49" s="278">
        <f t="shared" si="21"/>
        <v>182377.84521529148</v>
      </c>
      <c r="F49" s="278">
        <f t="shared" si="21"/>
        <v>164140.06069376232</v>
      </c>
      <c r="G49" s="278">
        <f t="shared" si="21"/>
        <v>147715.38925332087</v>
      </c>
      <c r="H49" s="278">
        <f t="shared" si="21"/>
        <v>132933.18495692356</v>
      </c>
      <c r="I49" s="278">
        <f t="shared" si="21"/>
        <v>119644.1326096573</v>
      </c>
      <c r="J49" s="278">
        <f t="shared" si="21"/>
        <v>107058.99475269567</v>
      </c>
      <c r="K49" s="278">
        <f t="shared" si="21"/>
        <v>94452.526153603598</v>
      </c>
      <c r="L49" s="278">
        <f t="shared" si="21"/>
        <v>81867.388296641962</v>
      </c>
      <c r="M49" s="278">
        <f t="shared" si="21"/>
        <v>69260.919697549893</v>
      </c>
      <c r="N49" s="278">
        <f t="shared" si="21"/>
        <v>56675.781840588257</v>
      </c>
      <c r="O49" s="278">
        <f t="shared" si="21"/>
        <v>44069.31324149618</v>
      </c>
      <c r="P49" s="278">
        <f t="shared" si="21"/>
        <v>31484.175384534545</v>
      </c>
      <c r="Q49" s="278">
        <f t="shared" si="21"/>
        <v>18877.706785442468</v>
      </c>
      <c r="R49" s="278">
        <f t="shared" si="21"/>
        <v>6292.5689284808341</v>
      </c>
      <c r="S49" s="278">
        <f t="shared" si="21"/>
        <v>1.7280399333685637E-11</v>
      </c>
      <c r="T49" s="278">
        <f t="shared" si="21"/>
        <v>1.7280399333685637E-11</v>
      </c>
      <c r="U49" s="278">
        <f t="shared" si="21"/>
        <v>1.7280399333685637E-11</v>
      </c>
      <c r="V49" s="278">
        <f t="shared" si="21"/>
        <v>1.7280399333685637E-11</v>
      </c>
    </row>
    <row r="50" spans="1:22">
      <c r="A50" s="5" t="s">
        <v>94</v>
      </c>
      <c r="B50" s="301">
        <f t="shared" ref="B50:R50" si="22">VLOOKUP(B6,$X$21:$Y$37,2)</f>
        <v>0</v>
      </c>
      <c r="C50" s="301">
        <f t="shared" si="22"/>
        <v>0.05</v>
      </c>
      <c r="D50" s="301">
        <f t="shared" si="22"/>
        <v>9.5000000000000001E-2</v>
      </c>
      <c r="E50" s="301">
        <f t="shared" si="22"/>
        <v>8.5500000000000007E-2</v>
      </c>
      <c r="F50" s="301">
        <f t="shared" si="22"/>
        <v>7.6999999999999999E-2</v>
      </c>
      <c r="G50" s="301">
        <f t="shared" si="22"/>
        <v>6.93E-2</v>
      </c>
      <c r="H50" s="301">
        <f t="shared" si="22"/>
        <v>6.2300000000000001E-2</v>
      </c>
      <c r="I50" s="301">
        <f t="shared" si="22"/>
        <v>5.8999999999999997E-2</v>
      </c>
      <c r="J50" s="301">
        <f t="shared" si="22"/>
        <v>5.91E-2</v>
      </c>
      <c r="K50" s="301">
        <f t="shared" si="22"/>
        <v>5.8999999999999997E-2</v>
      </c>
      <c r="L50" s="301">
        <f t="shared" si="22"/>
        <v>5.91E-2</v>
      </c>
      <c r="M50" s="301">
        <f t="shared" si="22"/>
        <v>5.8999999999999997E-2</v>
      </c>
      <c r="N50" s="301">
        <f t="shared" si="22"/>
        <v>5.91E-2</v>
      </c>
      <c r="O50" s="301">
        <f t="shared" si="22"/>
        <v>5.8999999999999997E-2</v>
      </c>
      <c r="P50" s="301">
        <f t="shared" si="22"/>
        <v>5.91E-2</v>
      </c>
      <c r="Q50" s="301">
        <f t="shared" si="22"/>
        <v>5.8999999999999997E-2</v>
      </c>
      <c r="R50" s="301">
        <f t="shared" si="22"/>
        <v>2.9499999999999998E-2</v>
      </c>
      <c r="S50" s="301">
        <v>0</v>
      </c>
      <c r="T50" s="301">
        <v>0</v>
      </c>
      <c r="U50" s="301">
        <v>0</v>
      </c>
      <c r="V50" s="301">
        <v>0</v>
      </c>
    </row>
    <row r="51" spans="1:22">
      <c r="A51" s="5" t="s">
        <v>96</v>
      </c>
      <c r="B51" s="272">
        <f>$B$49*B50</f>
        <v>0</v>
      </c>
      <c r="C51" s="272">
        <f t="shared" ref="C51:V51" si="23">$B$49*C50</f>
        <v>10665.371065221725</v>
      </c>
      <c r="D51" s="272">
        <f t="shared" si="23"/>
        <v>20264.205023921277</v>
      </c>
      <c r="E51" s="272">
        <f t="shared" si="23"/>
        <v>18237.784521529149</v>
      </c>
      <c r="F51" s="272">
        <f t="shared" si="23"/>
        <v>16424.671440441456</v>
      </c>
      <c r="G51" s="272">
        <f t="shared" si="23"/>
        <v>14782.204296397309</v>
      </c>
      <c r="H51" s="272">
        <f t="shared" si="23"/>
        <v>13289.052347266268</v>
      </c>
      <c r="I51" s="272">
        <f t="shared" si="23"/>
        <v>12585.137856961634</v>
      </c>
      <c r="J51" s="272">
        <f t="shared" si="23"/>
        <v>12606.468599092077</v>
      </c>
      <c r="K51" s="272">
        <f t="shared" si="23"/>
        <v>12585.137856961634</v>
      </c>
      <c r="L51" s="272">
        <f t="shared" si="23"/>
        <v>12606.468599092077</v>
      </c>
      <c r="M51" s="272">
        <f t="shared" si="23"/>
        <v>12585.137856961634</v>
      </c>
      <c r="N51" s="272">
        <f t="shared" si="23"/>
        <v>12606.468599092077</v>
      </c>
      <c r="O51" s="272">
        <f t="shared" si="23"/>
        <v>12585.137856961634</v>
      </c>
      <c r="P51" s="272">
        <f t="shared" si="23"/>
        <v>12606.468599092077</v>
      </c>
      <c r="Q51" s="272">
        <f t="shared" si="23"/>
        <v>12585.137856961634</v>
      </c>
      <c r="R51" s="272">
        <f t="shared" si="23"/>
        <v>6292.5689284808168</v>
      </c>
      <c r="S51" s="272">
        <f t="shared" si="23"/>
        <v>0</v>
      </c>
      <c r="T51" s="272">
        <f t="shared" si="23"/>
        <v>0</v>
      </c>
      <c r="U51" s="272">
        <f t="shared" si="23"/>
        <v>0</v>
      </c>
      <c r="V51" s="272">
        <f t="shared" si="23"/>
        <v>0</v>
      </c>
    </row>
    <row r="52" spans="1:22">
      <c r="A52" s="5" t="s">
        <v>105</v>
      </c>
      <c r="B52" s="180">
        <f t="shared" ref="B52:V52" si="24">B49-B51</f>
        <v>213307.42130443448</v>
      </c>
      <c r="C52" s="180">
        <f t="shared" si="24"/>
        <v>202642.05023921275</v>
      </c>
      <c r="D52" s="180">
        <f t="shared" si="24"/>
        <v>182377.84521529148</v>
      </c>
      <c r="E52" s="180">
        <f t="shared" si="24"/>
        <v>164140.06069376232</v>
      </c>
      <c r="F52" s="180">
        <f t="shared" si="24"/>
        <v>147715.38925332087</v>
      </c>
      <c r="G52" s="180">
        <f t="shared" si="24"/>
        <v>132933.18495692356</v>
      </c>
      <c r="H52" s="180">
        <f t="shared" si="24"/>
        <v>119644.1326096573</v>
      </c>
      <c r="I52" s="180">
        <f t="shared" si="24"/>
        <v>107058.99475269567</v>
      </c>
      <c r="J52" s="180">
        <f t="shared" si="24"/>
        <v>94452.526153603598</v>
      </c>
      <c r="K52" s="180">
        <f t="shared" si="24"/>
        <v>81867.388296641962</v>
      </c>
      <c r="L52" s="180">
        <f t="shared" si="24"/>
        <v>69260.919697549893</v>
      </c>
      <c r="M52" s="180">
        <f t="shared" si="24"/>
        <v>56675.781840588257</v>
      </c>
      <c r="N52" s="180">
        <f t="shared" si="24"/>
        <v>44069.31324149618</v>
      </c>
      <c r="O52" s="180">
        <f t="shared" si="24"/>
        <v>31484.175384534545</v>
      </c>
      <c r="P52" s="180">
        <f t="shared" si="24"/>
        <v>18877.706785442468</v>
      </c>
      <c r="Q52" s="180">
        <f t="shared" si="24"/>
        <v>6292.5689284808341</v>
      </c>
      <c r="R52" s="180">
        <f t="shared" si="24"/>
        <v>1.7280399333685637E-11</v>
      </c>
      <c r="S52" s="180">
        <f t="shared" si="24"/>
        <v>1.7280399333685637E-11</v>
      </c>
      <c r="T52" s="180">
        <f t="shared" si="24"/>
        <v>1.7280399333685637E-11</v>
      </c>
      <c r="U52" s="180">
        <f t="shared" si="24"/>
        <v>1.7280399333685637E-11</v>
      </c>
      <c r="V52" s="180">
        <f t="shared" si="24"/>
        <v>1.7280399333685637E-11</v>
      </c>
    </row>
    <row r="54" spans="1:22">
      <c r="A54" s="300" t="s">
        <v>9</v>
      </c>
    </row>
    <row r="55" spans="1:22">
      <c r="A55" s="5" t="s">
        <v>106</v>
      </c>
      <c r="B55" s="278">
        <f>'Summary Output'!$G$7*Allocation!$C$8</f>
        <v>343425.57448072976</v>
      </c>
      <c r="C55" s="180">
        <f t="shared" ref="C55:V55" si="25">B58</f>
        <v>343425.57448072976</v>
      </c>
      <c r="D55" s="180">
        <f t="shared" si="25"/>
        <v>326254.29575669329</v>
      </c>
      <c r="E55" s="180">
        <f t="shared" si="25"/>
        <v>293628.86618102394</v>
      </c>
      <c r="F55" s="180">
        <f t="shared" si="25"/>
        <v>264265.97956292157</v>
      </c>
      <c r="G55" s="180">
        <f t="shared" si="25"/>
        <v>237822.21032790537</v>
      </c>
      <c r="H55" s="180">
        <f t="shared" si="25"/>
        <v>214022.81801639078</v>
      </c>
      <c r="I55" s="180">
        <f t="shared" si="25"/>
        <v>192627.40472624131</v>
      </c>
      <c r="J55" s="180">
        <f t="shared" si="25"/>
        <v>172365.29583187826</v>
      </c>
      <c r="K55" s="180">
        <f t="shared" si="25"/>
        <v>152068.84438006714</v>
      </c>
      <c r="L55" s="180">
        <f t="shared" si="25"/>
        <v>131806.73548570409</v>
      </c>
      <c r="M55" s="180">
        <f t="shared" si="25"/>
        <v>111510.28403389297</v>
      </c>
      <c r="N55" s="180">
        <f t="shared" si="25"/>
        <v>91248.175139529922</v>
      </c>
      <c r="O55" s="180">
        <f t="shared" si="25"/>
        <v>70951.723687718797</v>
      </c>
      <c r="P55" s="180">
        <f t="shared" si="25"/>
        <v>50689.614793355744</v>
      </c>
      <c r="Q55" s="180">
        <f t="shared" si="25"/>
        <v>30393.163341544616</v>
      </c>
      <c r="R55" s="180">
        <f t="shared" si="25"/>
        <v>10131.054447181563</v>
      </c>
      <c r="S55" s="180">
        <f t="shared" si="25"/>
        <v>3.637978807091713E-11</v>
      </c>
      <c r="T55" s="180">
        <f t="shared" si="25"/>
        <v>3.637978807091713E-11</v>
      </c>
      <c r="U55" s="180">
        <f t="shared" si="25"/>
        <v>3.637978807091713E-11</v>
      </c>
      <c r="V55" s="180">
        <f t="shared" si="25"/>
        <v>3.637978807091713E-11</v>
      </c>
    </row>
    <row r="56" spans="1:22">
      <c r="A56" s="5" t="s">
        <v>94</v>
      </c>
      <c r="B56" s="301">
        <f t="shared" ref="B56:R56" si="26">VLOOKUP(B6,$X$21:$Y$37,2)</f>
        <v>0</v>
      </c>
      <c r="C56" s="301">
        <f t="shared" si="26"/>
        <v>0.05</v>
      </c>
      <c r="D56" s="301">
        <f t="shared" si="26"/>
        <v>9.5000000000000001E-2</v>
      </c>
      <c r="E56" s="301">
        <f t="shared" si="26"/>
        <v>8.5500000000000007E-2</v>
      </c>
      <c r="F56" s="301">
        <f t="shared" si="26"/>
        <v>7.6999999999999999E-2</v>
      </c>
      <c r="G56" s="301">
        <f t="shared" si="26"/>
        <v>6.93E-2</v>
      </c>
      <c r="H56" s="301">
        <f t="shared" si="26"/>
        <v>6.2300000000000001E-2</v>
      </c>
      <c r="I56" s="301">
        <f t="shared" si="26"/>
        <v>5.8999999999999997E-2</v>
      </c>
      <c r="J56" s="301">
        <f t="shared" si="26"/>
        <v>5.91E-2</v>
      </c>
      <c r="K56" s="301">
        <f t="shared" si="26"/>
        <v>5.8999999999999997E-2</v>
      </c>
      <c r="L56" s="301">
        <f t="shared" si="26"/>
        <v>5.91E-2</v>
      </c>
      <c r="M56" s="301">
        <f t="shared" si="26"/>
        <v>5.8999999999999997E-2</v>
      </c>
      <c r="N56" s="301">
        <f t="shared" si="26"/>
        <v>5.91E-2</v>
      </c>
      <c r="O56" s="301">
        <f t="shared" si="26"/>
        <v>5.8999999999999997E-2</v>
      </c>
      <c r="P56" s="301">
        <f t="shared" si="26"/>
        <v>5.91E-2</v>
      </c>
      <c r="Q56" s="301">
        <f t="shared" si="26"/>
        <v>5.8999999999999997E-2</v>
      </c>
      <c r="R56" s="301">
        <f t="shared" si="26"/>
        <v>2.9499999999999998E-2</v>
      </c>
      <c r="S56" s="301">
        <v>0</v>
      </c>
      <c r="T56" s="301">
        <v>0</v>
      </c>
      <c r="U56" s="301">
        <v>0</v>
      </c>
      <c r="V56" s="301">
        <v>0</v>
      </c>
    </row>
    <row r="57" spans="1:22">
      <c r="A57" s="5" t="s">
        <v>96</v>
      </c>
      <c r="B57" s="272">
        <f>$B$55*B56</f>
        <v>0</v>
      </c>
      <c r="C57" s="272">
        <f t="shared" ref="C57:V57" si="27">$B$55*C56</f>
        <v>17171.278724036489</v>
      </c>
      <c r="D57" s="272">
        <f t="shared" si="27"/>
        <v>32625.429575669328</v>
      </c>
      <c r="E57" s="272">
        <f t="shared" si="27"/>
        <v>29362.886618102395</v>
      </c>
      <c r="F57" s="272">
        <f t="shared" si="27"/>
        <v>26443.769235016192</v>
      </c>
      <c r="G57" s="272">
        <f t="shared" si="27"/>
        <v>23799.392311514574</v>
      </c>
      <c r="H57" s="272">
        <f t="shared" si="27"/>
        <v>21395.413290149463</v>
      </c>
      <c r="I57" s="272">
        <f t="shared" si="27"/>
        <v>20262.108894363053</v>
      </c>
      <c r="J57" s="272">
        <f t="shared" si="27"/>
        <v>20296.451451811128</v>
      </c>
      <c r="K57" s="272">
        <f t="shared" si="27"/>
        <v>20262.108894363053</v>
      </c>
      <c r="L57" s="272">
        <f t="shared" si="27"/>
        <v>20296.451451811128</v>
      </c>
      <c r="M57" s="272">
        <f t="shared" si="27"/>
        <v>20262.108894363053</v>
      </c>
      <c r="N57" s="272">
        <f t="shared" si="27"/>
        <v>20296.451451811128</v>
      </c>
      <c r="O57" s="272">
        <f t="shared" si="27"/>
        <v>20262.108894363053</v>
      </c>
      <c r="P57" s="272">
        <f t="shared" si="27"/>
        <v>20296.451451811128</v>
      </c>
      <c r="Q57" s="272">
        <f t="shared" si="27"/>
        <v>20262.108894363053</v>
      </c>
      <c r="R57" s="272">
        <f t="shared" si="27"/>
        <v>10131.054447181526</v>
      </c>
      <c r="S57" s="272">
        <f t="shared" si="27"/>
        <v>0</v>
      </c>
      <c r="T57" s="272">
        <f t="shared" si="27"/>
        <v>0</v>
      </c>
      <c r="U57" s="272">
        <f t="shared" si="27"/>
        <v>0</v>
      </c>
      <c r="V57" s="272">
        <f t="shared" si="27"/>
        <v>0</v>
      </c>
    </row>
    <row r="58" spans="1:22">
      <c r="A58" s="5" t="s">
        <v>105</v>
      </c>
      <c r="B58" s="180">
        <f t="shared" ref="B58:V58" si="28">B55-B57</f>
        <v>343425.57448072976</v>
      </c>
      <c r="C58" s="180">
        <f t="shared" si="28"/>
        <v>326254.29575669329</v>
      </c>
      <c r="D58" s="180">
        <f t="shared" si="28"/>
        <v>293628.86618102394</v>
      </c>
      <c r="E58" s="180">
        <f t="shared" si="28"/>
        <v>264265.97956292157</v>
      </c>
      <c r="F58" s="180">
        <f t="shared" si="28"/>
        <v>237822.21032790537</v>
      </c>
      <c r="G58" s="180">
        <f t="shared" si="28"/>
        <v>214022.81801639078</v>
      </c>
      <c r="H58" s="180">
        <f t="shared" si="28"/>
        <v>192627.40472624131</v>
      </c>
      <c r="I58" s="180">
        <f t="shared" si="28"/>
        <v>172365.29583187826</v>
      </c>
      <c r="J58" s="180">
        <f t="shared" si="28"/>
        <v>152068.84438006714</v>
      </c>
      <c r="K58" s="180">
        <f t="shared" si="28"/>
        <v>131806.73548570409</v>
      </c>
      <c r="L58" s="180">
        <f t="shared" si="28"/>
        <v>111510.28403389297</v>
      </c>
      <c r="M58" s="180">
        <f t="shared" si="28"/>
        <v>91248.175139529922</v>
      </c>
      <c r="N58" s="180">
        <f t="shared" si="28"/>
        <v>70951.723687718797</v>
      </c>
      <c r="O58" s="180">
        <f t="shared" si="28"/>
        <v>50689.614793355744</v>
      </c>
      <c r="P58" s="180">
        <f t="shared" si="28"/>
        <v>30393.163341544616</v>
      </c>
      <c r="Q58" s="180">
        <f t="shared" si="28"/>
        <v>10131.054447181563</v>
      </c>
      <c r="R58" s="180">
        <f t="shared" si="28"/>
        <v>3.637978807091713E-11</v>
      </c>
      <c r="S58" s="180">
        <f t="shared" si="28"/>
        <v>3.637978807091713E-11</v>
      </c>
      <c r="T58" s="180">
        <f t="shared" si="28"/>
        <v>3.637978807091713E-11</v>
      </c>
      <c r="U58" s="180">
        <f t="shared" si="28"/>
        <v>3.637978807091713E-11</v>
      </c>
      <c r="V58" s="180">
        <f t="shared" si="28"/>
        <v>3.637978807091713E-11</v>
      </c>
    </row>
    <row r="60" spans="1:22">
      <c r="A60" s="300" t="s">
        <v>98</v>
      </c>
    </row>
    <row r="61" spans="1:22">
      <c r="A61" s="5" t="s">
        <v>106</v>
      </c>
      <c r="B61" s="180">
        <f>SUM(B43,B49,B55)</f>
        <v>789921.81190358067</v>
      </c>
      <c r="C61" s="180">
        <f>B63</f>
        <v>789921.81190358067</v>
      </c>
      <c r="D61" s="180">
        <f t="shared" ref="D61:V61" si="29">C63</f>
        <v>750425.72130840167</v>
      </c>
      <c r="E61" s="180">
        <f t="shared" si="29"/>
        <v>675383.14917756151</v>
      </c>
      <c r="F61" s="180">
        <f t="shared" si="29"/>
        <v>607844.83425980539</v>
      </c>
      <c r="G61" s="180">
        <f t="shared" si="29"/>
        <v>547020.85474322969</v>
      </c>
      <c r="H61" s="180">
        <f t="shared" si="29"/>
        <v>492279.27317831153</v>
      </c>
      <c r="I61" s="180">
        <f t="shared" si="29"/>
        <v>443067.14429671847</v>
      </c>
      <c r="J61" s="180">
        <f t="shared" si="29"/>
        <v>396461.75739440724</v>
      </c>
      <c r="K61" s="180">
        <f t="shared" si="29"/>
        <v>349777.37831090565</v>
      </c>
      <c r="L61" s="180">
        <f t="shared" si="29"/>
        <v>303171.99140859442</v>
      </c>
      <c r="M61" s="180">
        <f t="shared" si="29"/>
        <v>256487.61232509281</v>
      </c>
      <c r="N61" s="180">
        <f t="shared" si="29"/>
        <v>209882.22542278154</v>
      </c>
      <c r="O61" s="180">
        <f t="shared" si="29"/>
        <v>163197.84633927993</v>
      </c>
      <c r="P61" s="180">
        <f t="shared" si="29"/>
        <v>116592.45943696868</v>
      </c>
      <c r="Q61" s="180">
        <f t="shared" si="29"/>
        <v>69908.08035346707</v>
      </c>
      <c r="R61" s="180">
        <f t="shared" si="29"/>
        <v>23302.693451155821</v>
      </c>
      <c r="S61" s="180">
        <f t="shared" si="29"/>
        <v>1.964508555829525E-10</v>
      </c>
      <c r="T61" s="180">
        <f t="shared" si="29"/>
        <v>1.964508555829525E-10</v>
      </c>
      <c r="U61" s="180">
        <f t="shared" si="29"/>
        <v>1.964508555829525E-10</v>
      </c>
      <c r="V61" s="180">
        <f t="shared" si="29"/>
        <v>1.964508555829525E-10</v>
      </c>
    </row>
    <row r="62" spans="1:22">
      <c r="A62" s="5" t="s">
        <v>96</v>
      </c>
      <c r="B62" s="272">
        <f>SUM(B45,B51,B57)</f>
        <v>0</v>
      </c>
      <c r="C62" s="272">
        <f t="shared" ref="C62:V62" si="30">SUM(C45,C51,C57)</f>
        <v>39496.090595179034</v>
      </c>
      <c r="D62" s="272">
        <f t="shared" si="30"/>
        <v>75042.57213084017</v>
      </c>
      <c r="E62" s="272">
        <f t="shared" si="30"/>
        <v>67538.314917756143</v>
      </c>
      <c r="F62" s="272">
        <f t="shared" si="30"/>
        <v>60823.97951657571</v>
      </c>
      <c r="G62" s="272">
        <f t="shared" si="30"/>
        <v>54741.581564918139</v>
      </c>
      <c r="H62" s="272">
        <f t="shared" si="30"/>
        <v>49212.128881593075</v>
      </c>
      <c r="I62" s="272">
        <f t="shared" si="30"/>
        <v>46605.386902311249</v>
      </c>
      <c r="J62" s="272">
        <f t="shared" si="30"/>
        <v>46684.379083501612</v>
      </c>
      <c r="K62" s="272">
        <f t="shared" si="30"/>
        <v>46605.386902311249</v>
      </c>
      <c r="L62" s="272">
        <f t="shared" si="30"/>
        <v>46684.379083501612</v>
      </c>
      <c r="M62" s="272">
        <f t="shared" si="30"/>
        <v>46605.386902311249</v>
      </c>
      <c r="N62" s="272">
        <f t="shared" si="30"/>
        <v>46684.379083501612</v>
      </c>
      <c r="O62" s="272">
        <f t="shared" si="30"/>
        <v>46605.386902311249</v>
      </c>
      <c r="P62" s="272">
        <f t="shared" si="30"/>
        <v>46684.379083501612</v>
      </c>
      <c r="Q62" s="272">
        <f t="shared" si="30"/>
        <v>46605.386902311249</v>
      </c>
      <c r="R62" s="272">
        <f t="shared" si="30"/>
        <v>23302.693451155625</v>
      </c>
      <c r="S62" s="272">
        <f t="shared" si="30"/>
        <v>0</v>
      </c>
      <c r="T62" s="272">
        <f t="shared" si="30"/>
        <v>0</v>
      </c>
      <c r="U62" s="272">
        <f t="shared" si="30"/>
        <v>0</v>
      </c>
      <c r="V62" s="272">
        <f t="shared" si="30"/>
        <v>0</v>
      </c>
    </row>
    <row r="63" spans="1:22">
      <c r="A63" s="5" t="s">
        <v>105</v>
      </c>
      <c r="B63" s="180">
        <f>B61-B62</f>
        <v>789921.81190358067</v>
      </c>
      <c r="C63" s="180">
        <f t="shared" ref="C63:V63" si="31">C61-C62</f>
        <v>750425.72130840167</v>
      </c>
      <c r="D63" s="180">
        <f t="shared" si="31"/>
        <v>675383.14917756151</v>
      </c>
      <c r="E63" s="180">
        <f t="shared" si="31"/>
        <v>607844.83425980539</v>
      </c>
      <c r="F63" s="180">
        <f t="shared" si="31"/>
        <v>547020.85474322969</v>
      </c>
      <c r="G63" s="180">
        <f t="shared" si="31"/>
        <v>492279.27317831153</v>
      </c>
      <c r="H63" s="180">
        <f t="shared" si="31"/>
        <v>443067.14429671847</v>
      </c>
      <c r="I63" s="180">
        <f t="shared" si="31"/>
        <v>396461.75739440724</v>
      </c>
      <c r="J63" s="180">
        <f t="shared" si="31"/>
        <v>349777.37831090565</v>
      </c>
      <c r="K63" s="180">
        <f t="shared" si="31"/>
        <v>303171.99140859442</v>
      </c>
      <c r="L63" s="180">
        <f t="shared" si="31"/>
        <v>256487.61232509281</v>
      </c>
      <c r="M63" s="180">
        <f t="shared" si="31"/>
        <v>209882.22542278154</v>
      </c>
      <c r="N63" s="180">
        <f t="shared" si="31"/>
        <v>163197.84633927993</v>
      </c>
      <c r="O63" s="180">
        <f t="shared" si="31"/>
        <v>116592.45943696868</v>
      </c>
      <c r="P63" s="180">
        <f t="shared" si="31"/>
        <v>69908.08035346707</v>
      </c>
      <c r="Q63" s="180">
        <f t="shared" si="31"/>
        <v>23302.693451155821</v>
      </c>
      <c r="R63" s="180">
        <f t="shared" si="31"/>
        <v>1.964508555829525E-10</v>
      </c>
      <c r="S63" s="180">
        <f t="shared" si="31"/>
        <v>1.964508555829525E-10</v>
      </c>
      <c r="T63" s="180">
        <f t="shared" si="31"/>
        <v>1.964508555829525E-10</v>
      </c>
      <c r="U63" s="180">
        <f t="shared" si="31"/>
        <v>1.964508555829525E-10</v>
      </c>
      <c r="V63" s="180">
        <f t="shared" si="31"/>
        <v>1.964508555829525E-10</v>
      </c>
    </row>
    <row r="67" spans="1:22">
      <c r="A67" s="178" t="s">
        <v>179</v>
      </c>
      <c r="B67" s="302">
        <f>B62</f>
        <v>0</v>
      </c>
      <c r="C67" s="302">
        <f t="shared" ref="C67:V67" si="32">C62</f>
        <v>39496.090595179034</v>
      </c>
      <c r="D67" s="302">
        <f t="shared" si="32"/>
        <v>75042.57213084017</v>
      </c>
      <c r="E67" s="302">
        <f t="shared" si="32"/>
        <v>67538.314917756143</v>
      </c>
      <c r="F67" s="302">
        <f t="shared" si="32"/>
        <v>60823.97951657571</v>
      </c>
      <c r="G67" s="302">
        <f t="shared" si="32"/>
        <v>54741.581564918139</v>
      </c>
      <c r="H67" s="302">
        <f t="shared" si="32"/>
        <v>49212.128881593075</v>
      </c>
      <c r="I67" s="302">
        <f t="shared" si="32"/>
        <v>46605.386902311249</v>
      </c>
      <c r="J67" s="302">
        <f t="shared" si="32"/>
        <v>46684.379083501612</v>
      </c>
      <c r="K67" s="302">
        <f t="shared" si="32"/>
        <v>46605.386902311249</v>
      </c>
      <c r="L67" s="302">
        <f t="shared" si="32"/>
        <v>46684.379083501612</v>
      </c>
      <c r="M67" s="302">
        <f t="shared" si="32"/>
        <v>46605.386902311249</v>
      </c>
      <c r="N67" s="302">
        <f t="shared" si="32"/>
        <v>46684.379083501612</v>
      </c>
      <c r="O67" s="302">
        <f t="shared" si="32"/>
        <v>46605.386902311249</v>
      </c>
      <c r="P67" s="302">
        <f t="shared" si="32"/>
        <v>46684.379083501612</v>
      </c>
      <c r="Q67" s="302">
        <f t="shared" si="32"/>
        <v>46605.386902311249</v>
      </c>
      <c r="R67" s="302">
        <f t="shared" si="32"/>
        <v>23302.693451155625</v>
      </c>
      <c r="S67" s="302">
        <f t="shared" si="32"/>
        <v>0</v>
      </c>
      <c r="T67" s="302">
        <f t="shared" si="32"/>
        <v>0</v>
      </c>
      <c r="U67" s="302">
        <f t="shared" si="32"/>
        <v>0</v>
      </c>
      <c r="V67" s="302">
        <f t="shared" si="32"/>
        <v>0</v>
      </c>
    </row>
    <row r="68" spans="1:22">
      <c r="A68" s="303" t="s">
        <v>180</v>
      </c>
      <c r="B68" s="304">
        <v>0</v>
      </c>
      <c r="C68" s="304">
        <f>SUM(Gleason!B85,Wheatland!B86,Wilton!B79)</f>
        <v>-39496.090595179034</v>
      </c>
      <c r="D68" s="304">
        <f>SUM(Gleason!C85,Wheatland!C86,Wilton!C79)</f>
        <v>-75042.57213084017</v>
      </c>
      <c r="E68" s="304">
        <f>SUM(Gleason!D85,Wheatland!D86,Wilton!D79)</f>
        <v>-67538.314917756143</v>
      </c>
      <c r="F68" s="304">
        <f>SUM(Gleason!E85,Wheatland!E86,Wilton!E79)</f>
        <v>-60823.97951657571</v>
      </c>
      <c r="G68" s="304">
        <f>SUM(Gleason!F85,Wheatland!F86,Wilton!F79)</f>
        <v>-54741.581564918139</v>
      </c>
      <c r="H68" s="304">
        <f>SUM(Gleason!G85,Wheatland!G86,Wilton!G79)</f>
        <v>-49212.128881593075</v>
      </c>
      <c r="I68" s="304">
        <f>SUM(Gleason!H85,Wheatland!H86,Wilton!H79)</f>
        <v>-46605.386902311249</v>
      </c>
      <c r="J68" s="304">
        <f>SUM(Gleason!I85,Wheatland!I86,Wilton!I79)</f>
        <v>-46684.379083501612</v>
      </c>
      <c r="K68" s="304">
        <f>SUM(Gleason!J85,Wheatland!J86,Wilton!J79)</f>
        <v>-46605.386902311249</v>
      </c>
      <c r="L68" s="304">
        <f>SUM(Gleason!K85,Wheatland!K86,Wilton!K79)</f>
        <v>-46684.379083501612</v>
      </c>
      <c r="M68" s="304">
        <f>SUM(Gleason!L85,Wheatland!L86,Wilton!L79)</f>
        <v>-46605.386902311249</v>
      </c>
      <c r="N68" s="304">
        <f>SUM(Gleason!M85,Wheatland!M86,Wilton!M79)</f>
        <v>-46684.379083501612</v>
      </c>
      <c r="O68" s="304">
        <f>SUM(Gleason!N85,Wheatland!N86,Wilton!N79)</f>
        <v>-46605.386902311249</v>
      </c>
      <c r="P68" s="304">
        <f>SUM(Gleason!O85,Wheatland!O86,Wilton!O79)</f>
        <v>-46684.379083501612</v>
      </c>
      <c r="Q68" s="304">
        <f>SUM(Gleason!P85,Wheatland!P86,Wilton!P79)</f>
        <v>-46605.386902311249</v>
      </c>
      <c r="R68" s="304">
        <f>SUM(Gleason!Q85,Wheatland!Q86,Wilton!Q79)</f>
        <v>-23302.693451155625</v>
      </c>
      <c r="S68" s="304">
        <f>SUM(Gleason!R85,Wheatland!R86,Wilton!R79)</f>
        <v>0</v>
      </c>
      <c r="T68" s="304">
        <f>SUM(Gleason!S85,Wheatland!S86,Wilton!S79)</f>
        <v>0</v>
      </c>
      <c r="U68" s="304">
        <f>SUM(Gleason!T85,Wheatland!T86,Wilton!T79)</f>
        <v>0</v>
      </c>
      <c r="V68" s="304">
        <f>SUM(Gleason!U85,Wheatland!U86,Wilton!U79)</f>
        <v>0</v>
      </c>
    </row>
    <row r="69" spans="1:22">
      <c r="A69" s="178" t="s">
        <v>181</v>
      </c>
      <c r="B69" s="302">
        <f>B67+B68</f>
        <v>0</v>
      </c>
      <c r="C69" s="302">
        <f t="shared" ref="C69:V69" si="33">C67+C68</f>
        <v>0</v>
      </c>
      <c r="D69" s="302">
        <f t="shared" si="33"/>
        <v>0</v>
      </c>
      <c r="E69" s="302">
        <f t="shared" si="33"/>
        <v>0</v>
      </c>
      <c r="F69" s="302">
        <f t="shared" si="33"/>
        <v>0</v>
      </c>
      <c r="G69" s="302">
        <f t="shared" si="33"/>
        <v>0</v>
      </c>
      <c r="H69" s="302">
        <f t="shared" si="33"/>
        <v>0</v>
      </c>
      <c r="I69" s="302">
        <f t="shared" si="33"/>
        <v>0</v>
      </c>
      <c r="J69" s="302">
        <f t="shared" si="33"/>
        <v>0</v>
      </c>
      <c r="K69" s="302">
        <f t="shared" si="33"/>
        <v>0</v>
      </c>
      <c r="L69" s="302">
        <f t="shared" si="33"/>
        <v>0</v>
      </c>
      <c r="M69" s="302">
        <f t="shared" si="33"/>
        <v>0</v>
      </c>
      <c r="N69" s="302">
        <f t="shared" si="33"/>
        <v>0</v>
      </c>
      <c r="O69" s="302">
        <f t="shared" si="33"/>
        <v>0</v>
      </c>
      <c r="P69" s="302">
        <f t="shared" si="33"/>
        <v>0</v>
      </c>
      <c r="Q69" s="302">
        <f t="shared" si="33"/>
        <v>0</v>
      </c>
      <c r="R69" s="302">
        <f t="shared" si="33"/>
        <v>0</v>
      </c>
      <c r="S69" s="302">
        <f t="shared" si="33"/>
        <v>0</v>
      </c>
      <c r="T69" s="302">
        <f t="shared" si="33"/>
        <v>0</v>
      </c>
      <c r="U69" s="302">
        <f t="shared" si="33"/>
        <v>0</v>
      </c>
      <c r="V69" s="302">
        <f t="shared" si="33"/>
        <v>0</v>
      </c>
    </row>
  </sheetData>
  <pageMargins left="0.75" right="0.75" top="1" bottom="1" header="0.5" footer="0.5"/>
  <pageSetup scale="4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37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25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0.42578125" style="5" bestFit="1" customWidth="1"/>
    <col min="2" max="2" width="8.28515625" style="5" bestFit="1" customWidth="1"/>
    <col min="3" max="5" width="9.28515625" style="5" bestFit="1" customWidth="1"/>
    <col min="6" max="21" width="8.7109375" style="5" bestFit="1" customWidth="1"/>
    <col min="22" max="22" width="9.140625" style="6"/>
    <col min="23" max="24" width="10.85546875" style="6" bestFit="1" customWidth="1"/>
    <col min="25" max="25" width="4.7109375" style="6" bestFit="1" customWidth="1"/>
    <col min="26" max="16384" width="9.140625" style="6"/>
  </cols>
  <sheetData>
    <row r="2" spans="1:25" ht="18">
      <c r="A2" s="305" t="s">
        <v>155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06"/>
      <c r="W2" s="306"/>
    </row>
    <row r="3" spans="1:25">
      <c r="A3" s="307"/>
      <c r="B3" s="308"/>
      <c r="C3" s="308"/>
      <c r="D3" s="308"/>
      <c r="E3" s="308"/>
      <c r="F3" s="308"/>
      <c r="G3" s="309"/>
      <c r="H3" s="308"/>
      <c r="I3" s="308"/>
      <c r="J3" s="308"/>
      <c r="K3" s="308"/>
      <c r="L3" s="308"/>
      <c r="M3" s="309"/>
      <c r="N3" s="308"/>
      <c r="O3" s="308"/>
      <c r="P3" s="308"/>
      <c r="Q3" s="308"/>
      <c r="R3" s="308"/>
      <c r="S3" s="309"/>
      <c r="T3" s="308"/>
      <c r="U3" s="308"/>
      <c r="V3" s="310"/>
      <c r="W3" s="310"/>
    </row>
    <row r="4" spans="1:25">
      <c r="A4" s="256"/>
      <c r="B4" s="311">
        <v>3</v>
      </c>
      <c r="C4" s="311">
        <v>4</v>
      </c>
      <c r="D4" s="311">
        <v>5</v>
      </c>
      <c r="E4" s="312">
        <v>6</v>
      </c>
      <c r="F4" s="311">
        <v>7</v>
      </c>
      <c r="G4" s="311">
        <v>8</v>
      </c>
      <c r="H4" s="311">
        <v>9</v>
      </c>
      <c r="I4" s="311">
        <v>10</v>
      </c>
      <c r="J4" s="311">
        <v>11</v>
      </c>
      <c r="K4" s="312">
        <v>12</v>
      </c>
      <c r="L4" s="311">
        <v>13</v>
      </c>
      <c r="M4" s="311">
        <v>14</v>
      </c>
      <c r="N4" s="311">
        <v>15</v>
      </c>
      <c r="O4" s="311">
        <v>16</v>
      </c>
      <c r="P4" s="311">
        <v>17</v>
      </c>
      <c r="Q4" s="312">
        <v>18</v>
      </c>
      <c r="R4" s="311">
        <v>19</v>
      </c>
      <c r="S4" s="311">
        <v>20</v>
      </c>
      <c r="T4" s="311">
        <v>21</v>
      </c>
      <c r="U4" s="311">
        <v>22</v>
      </c>
      <c r="V4" s="313"/>
      <c r="W4" s="310"/>
    </row>
    <row r="5" spans="1:2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25">
      <c r="A6" s="256"/>
      <c r="B6" s="31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</row>
    <row r="7" spans="1:25">
      <c r="A7" s="315" t="s">
        <v>76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316"/>
      <c r="W7" s="316"/>
    </row>
    <row r="8" spans="1:25" ht="13.5" thickBot="1">
      <c r="A8" s="14" t="s">
        <v>117</v>
      </c>
      <c r="B8" s="317">
        <f>SUM(Wheatland!B100,Wilton!B91,Gleason!B97)</f>
        <v>1871.4496917230335</v>
      </c>
      <c r="C8" s="317">
        <f>SUM(Wheatland!C100,Wilton!C91,Gleason!C97)</f>
        <v>534.01303238912465</v>
      </c>
      <c r="D8" s="317">
        <f>SUM(Wheatland!D100,Wilton!D91,Gleason!D97)</f>
        <v>967.57923403985478</v>
      </c>
      <c r="E8" s="317">
        <f>SUM(Wheatland!E100,Wilton!E91,Gleason!E97)</f>
        <v>1501.9184970411743</v>
      </c>
      <c r="F8" s="317">
        <f>SUM(Wheatland!F100,Wilton!F91,Gleason!F97)</f>
        <v>2777.5413356805238</v>
      </c>
      <c r="G8" s="317">
        <f>SUM(Wheatland!G100,Wilton!G91,Gleason!G97)</f>
        <v>3350.5005860922647</v>
      </c>
      <c r="H8" s="317">
        <f>SUM(Wheatland!H100,Wilton!H91,Gleason!H97)</f>
        <v>3752.3364674376267</v>
      </c>
      <c r="I8" s="317">
        <f>SUM(Wheatland!I100,Wilton!I91,Gleason!I97)</f>
        <v>3995.3372086402014</v>
      </c>
      <c r="J8" s="317">
        <f>SUM(Wheatland!J100,Wilton!J91,Gleason!J97)</f>
        <v>4275.441288730105</v>
      </c>
      <c r="K8" s="317">
        <f>SUM(Wheatland!K100,Wilton!K91,Gleason!K97)</f>
        <v>4555.123808483605</v>
      </c>
      <c r="L8" s="317">
        <f>SUM(Wheatland!L100,Wilton!L91,Gleason!L97)</f>
        <v>4824.9607185563164</v>
      </c>
      <c r="M8" s="317">
        <f>SUM(Wheatland!M100,Wilton!M91,Gleason!M97)</f>
        <v>5105.1180211369547</v>
      </c>
      <c r="N8" s="317">
        <f>SUM(Wheatland!N100,Wilton!N91,Gleason!N97)</f>
        <v>5395.4503879262502</v>
      </c>
      <c r="O8" s="317">
        <f>SUM(Wheatland!O100,Wilton!O91,Gleason!O97)</f>
        <v>5706.1373920057567</v>
      </c>
      <c r="P8" s="317">
        <f>SUM(Wheatland!P100,Wilton!P91,Gleason!P97)</f>
        <v>6015.2537151539582</v>
      </c>
      <c r="Q8" s="317">
        <f>SUM(Wheatland!Q100,Wilton!Q91,Gleason!Q97)</f>
        <v>7793.1317085315331</v>
      </c>
      <c r="R8" s="317">
        <f>SUM(Wheatland!R100,Wilton!R91,Gleason!R97)</f>
        <v>9560.5694306257428</v>
      </c>
      <c r="S8" s="317">
        <f>SUM(Wheatland!S100,Wilton!S91,Gleason!S97)</f>
        <v>9921.5532068797729</v>
      </c>
      <c r="T8" s="317">
        <f>SUM(Wheatland!T100,Wilton!T91,Gleason!T97)</f>
        <v>10304.844397419012</v>
      </c>
      <c r="U8" s="317">
        <f>SUM(Wheatland!U100,Wilton!U91,Gleason!U97)</f>
        <v>10712.324086248969</v>
      </c>
      <c r="V8" s="318"/>
      <c r="W8" s="319">
        <f>SUM(B8:U8)</f>
        <v>102920.5842147418</v>
      </c>
      <c r="X8" s="320">
        <f>SUM(Gleason!W97,Wheatland!W100,Wilton!W91)</f>
        <v>102920.58421474177</v>
      </c>
      <c r="Y8" s="160">
        <f>W8-X8</f>
        <v>0</v>
      </c>
    </row>
    <row r="9" spans="1:25">
      <c r="A9" s="14"/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18"/>
      <c r="W9" s="318"/>
    </row>
    <row r="10" spans="1:25">
      <c r="A10" s="38"/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3"/>
      <c r="W10" s="323"/>
    </row>
    <row r="11" spans="1:25">
      <c r="A11" s="315" t="s">
        <v>77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324"/>
      <c r="W11" s="324"/>
    </row>
    <row r="12" spans="1:25">
      <c r="A12" s="38" t="s">
        <v>233</v>
      </c>
      <c r="B12" s="322">
        <f>IS!B35</f>
        <v>40340.217450391661</v>
      </c>
      <c r="C12" s="322">
        <f>IS!C35</f>
        <v>46122.418766621311</v>
      </c>
      <c r="D12" s="322">
        <f>IS!D35</f>
        <v>52389.954754178689</v>
      </c>
      <c r="E12" s="322">
        <f>IS!E35</f>
        <v>59076.180908820461</v>
      </c>
      <c r="F12" s="322">
        <f>IS!F35</f>
        <v>66444.462073631483</v>
      </c>
      <c r="G12" s="322">
        <f>IS!G35</f>
        <v>69750.37560051083</v>
      </c>
      <c r="H12" s="322">
        <f>IS!H35</f>
        <v>73178.920626047926</v>
      </c>
      <c r="I12" s="322">
        <f>IS!I35</f>
        <v>76672.522871608133</v>
      </c>
      <c r="J12" s="322">
        <f>IS!J35</f>
        <v>80542.406436268167</v>
      </c>
      <c r="K12" s="322">
        <f>IS!K35</f>
        <v>84532.185395835317</v>
      </c>
      <c r="L12" s="322">
        <f>IS!L35</f>
        <v>88352.745993304721</v>
      </c>
      <c r="M12" s="322">
        <f>IS!M35</f>
        <v>92438.899249208625</v>
      </c>
      <c r="N12" s="322">
        <f>IS!N35</f>
        <v>96481.624443244989</v>
      </c>
      <c r="O12" s="322">
        <f>IS!O35</f>
        <v>101003.9130300523</v>
      </c>
      <c r="P12" s="322">
        <f>IS!P35</f>
        <v>105302.86046163026</v>
      </c>
      <c r="Q12" s="322">
        <f>IS!Q35</f>
        <v>110425.09033066704</v>
      </c>
      <c r="R12" s="322">
        <f>IS!R35</f>
        <v>115312.49844591602</v>
      </c>
      <c r="S12" s="322">
        <f>IS!S35</f>
        <v>120439.48102402559</v>
      </c>
      <c r="T12" s="322">
        <f>IS!T35</f>
        <v>125883.39358883076</v>
      </c>
      <c r="U12" s="322">
        <f>IS!U35</f>
        <v>131670.97344036624</v>
      </c>
      <c r="V12" s="323"/>
      <c r="W12" s="319">
        <f>SUM(B12:U12)</f>
        <v>1736361.1248911605</v>
      </c>
      <c r="X12" s="320">
        <f>SUM(Wheatland!W84,Wilton!W77,Gleason!W83)</f>
        <v>1736361.1248911603</v>
      </c>
      <c r="Y12" s="160">
        <f>W12-X12</f>
        <v>0</v>
      </c>
    </row>
    <row r="13" spans="1:25">
      <c r="A13" s="38" t="s">
        <v>119</v>
      </c>
      <c r="B13" s="322">
        <f>IS!B29</f>
        <v>23697.654357107422</v>
      </c>
      <c r="C13" s="322">
        <f>IS!C29</f>
        <v>23697.654357107422</v>
      </c>
      <c r="D13" s="322">
        <f>IS!D29</f>
        <v>23697.654357107422</v>
      </c>
      <c r="E13" s="322">
        <f>IS!E29</f>
        <v>23697.654357107422</v>
      </c>
      <c r="F13" s="322">
        <f>IS!F29</f>
        <v>23697.654357107422</v>
      </c>
      <c r="G13" s="322">
        <f>IS!G29</f>
        <v>23697.654357107422</v>
      </c>
      <c r="H13" s="322">
        <f>IS!H29</f>
        <v>23697.654357107422</v>
      </c>
      <c r="I13" s="322">
        <f>IS!I29</f>
        <v>23697.654357107422</v>
      </c>
      <c r="J13" s="322">
        <f>IS!J29</f>
        <v>23697.654357107422</v>
      </c>
      <c r="K13" s="322">
        <f>IS!K29</f>
        <v>23697.654357107422</v>
      </c>
      <c r="L13" s="322">
        <f>IS!L29</f>
        <v>23697.654357107422</v>
      </c>
      <c r="M13" s="322">
        <f>IS!M29</f>
        <v>23697.654357107422</v>
      </c>
      <c r="N13" s="322">
        <f>IS!N29</f>
        <v>23697.654357107422</v>
      </c>
      <c r="O13" s="322">
        <f>IS!O29</f>
        <v>23697.654357107422</v>
      </c>
      <c r="P13" s="322">
        <f>IS!P29</f>
        <v>23697.654357107422</v>
      </c>
      <c r="Q13" s="322">
        <f>IS!Q29</f>
        <v>23697.654357107422</v>
      </c>
      <c r="R13" s="322">
        <f>IS!R29</f>
        <v>23697.654357107422</v>
      </c>
      <c r="S13" s="322">
        <f>IS!S29</f>
        <v>23697.654357107422</v>
      </c>
      <c r="T13" s="322">
        <f>IS!T29</f>
        <v>23697.654357107422</v>
      </c>
      <c r="U13" s="322">
        <f>IS!U29</f>
        <v>23697.654357107422</v>
      </c>
      <c r="V13" s="323"/>
      <c r="W13" s="319">
        <f>SUM(B13:U13)</f>
        <v>473953.08714214835</v>
      </c>
      <c r="X13" s="320">
        <f>SUM(Wheatland!W85,Wilton!W78,Gleason!W84)</f>
        <v>473953.08714214835</v>
      </c>
      <c r="Y13" s="160">
        <f>W13-X13</f>
        <v>0</v>
      </c>
    </row>
    <row r="14" spans="1:25">
      <c r="A14" s="38" t="s">
        <v>177</v>
      </c>
      <c r="B14" s="267">
        <f>-Depreciation!C62</f>
        <v>-39496.090595179034</v>
      </c>
      <c r="C14" s="267">
        <f>-Depreciation!D62</f>
        <v>-75042.57213084017</v>
      </c>
      <c r="D14" s="267">
        <f>-Depreciation!E62</f>
        <v>-67538.314917756143</v>
      </c>
      <c r="E14" s="267">
        <f>-Depreciation!F62</f>
        <v>-60823.97951657571</v>
      </c>
      <c r="F14" s="267">
        <f>-Depreciation!G62</f>
        <v>-54741.581564918139</v>
      </c>
      <c r="G14" s="267">
        <f>-Depreciation!H62</f>
        <v>-49212.128881593075</v>
      </c>
      <c r="H14" s="267">
        <f>-Depreciation!I62</f>
        <v>-46605.386902311249</v>
      </c>
      <c r="I14" s="267">
        <f>-Depreciation!J62</f>
        <v>-46684.379083501612</v>
      </c>
      <c r="J14" s="267">
        <f>-Depreciation!K62</f>
        <v>-46605.386902311249</v>
      </c>
      <c r="K14" s="267">
        <f>-Depreciation!L62</f>
        <v>-46684.379083501612</v>
      </c>
      <c r="L14" s="267">
        <f>-Depreciation!M62</f>
        <v>-46605.386902311249</v>
      </c>
      <c r="M14" s="267">
        <f>-Depreciation!N62</f>
        <v>-46684.379083501612</v>
      </c>
      <c r="N14" s="267">
        <f>-Depreciation!O62</f>
        <v>-46605.386902311249</v>
      </c>
      <c r="O14" s="267">
        <f>-Depreciation!P62</f>
        <v>-46684.379083501612</v>
      </c>
      <c r="P14" s="267">
        <f>-Depreciation!Q62</f>
        <v>-46605.386902311249</v>
      </c>
      <c r="Q14" s="267">
        <f>-Depreciation!R62</f>
        <v>-23302.693451155625</v>
      </c>
      <c r="R14" s="267">
        <f>-Depreciation!S62</f>
        <v>0</v>
      </c>
      <c r="S14" s="267">
        <f>-Depreciation!T62</f>
        <v>0</v>
      </c>
      <c r="T14" s="267">
        <f>-Depreciation!U62</f>
        <v>0</v>
      </c>
      <c r="U14" s="267">
        <f>-Depreciation!V62</f>
        <v>0</v>
      </c>
      <c r="V14" s="323"/>
      <c r="W14" s="319">
        <f>SUM(B14:U14)</f>
        <v>-789921.81190358067</v>
      </c>
      <c r="X14" s="320">
        <f>SUM(Wheatland!W86,Wilton!W79,Gleason!W85)</f>
        <v>-789921.81190358056</v>
      </c>
      <c r="Y14" s="160">
        <f>W14-X14</f>
        <v>0</v>
      </c>
    </row>
    <row r="15" spans="1:25" ht="15">
      <c r="A15" s="38" t="s">
        <v>126</v>
      </c>
      <c r="B15" s="325">
        <f>-B8</f>
        <v>-1871.4496917230335</v>
      </c>
      <c r="C15" s="325">
        <f t="shared" ref="C15:U15" si="0">-C8</f>
        <v>-534.01303238912465</v>
      </c>
      <c r="D15" s="325">
        <f t="shared" si="0"/>
        <v>-967.57923403985478</v>
      </c>
      <c r="E15" s="325">
        <f t="shared" si="0"/>
        <v>-1501.9184970411743</v>
      </c>
      <c r="F15" s="325">
        <f t="shared" si="0"/>
        <v>-2777.5413356805238</v>
      </c>
      <c r="G15" s="325">
        <f t="shared" si="0"/>
        <v>-3350.5005860922647</v>
      </c>
      <c r="H15" s="325">
        <f t="shared" si="0"/>
        <v>-3752.3364674376267</v>
      </c>
      <c r="I15" s="325">
        <f t="shared" si="0"/>
        <v>-3995.3372086402014</v>
      </c>
      <c r="J15" s="325">
        <f t="shared" si="0"/>
        <v>-4275.441288730105</v>
      </c>
      <c r="K15" s="325">
        <f t="shared" si="0"/>
        <v>-4555.123808483605</v>
      </c>
      <c r="L15" s="325">
        <f t="shared" si="0"/>
        <v>-4824.9607185563164</v>
      </c>
      <c r="M15" s="325">
        <f t="shared" si="0"/>
        <v>-5105.1180211369547</v>
      </c>
      <c r="N15" s="325">
        <f t="shared" si="0"/>
        <v>-5395.4503879262502</v>
      </c>
      <c r="O15" s="325">
        <f t="shared" si="0"/>
        <v>-5706.1373920057567</v>
      </c>
      <c r="P15" s="325">
        <f t="shared" si="0"/>
        <v>-6015.2537151539582</v>
      </c>
      <c r="Q15" s="325">
        <f t="shared" si="0"/>
        <v>-7793.1317085315331</v>
      </c>
      <c r="R15" s="325">
        <f t="shared" si="0"/>
        <v>-9560.5694306257428</v>
      </c>
      <c r="S15" s="325">
        <f t="shared" si="0"/>
        <v>-9921.5532068797729</v>
      </c>
      <c r="T15" s="325">
        <f t="shared" si="0"/>
        <v>-10304.844397419012</v>
      </c>
      <c r="U15" s="325">
        <f t="shared" si="0"/>
        <v>-10712.324086248969</v>
      </c>
      <c r="V15" s="326"/>
      <c r="W15" s="319">
        <f>SUM(B15:U15)</f>
        <v>-102920.5842147418</v>
      </c>
      <c r="X15" s="320">
        <f>SUM(Gleason!W97,Wheatland!W100,Wilton!W91)</f>
        <v>102920.58421474177</v>
      </c>
      <c r="Y15" s="160">
        <f>X15+W15</f>
        <v>0</v>
      </c>
    </row>
    <row r="16" spans="1:25">
      <c r="A16" s="327" t="s">
        <v>176</v>
      </c>
      <c r="B16" s="328">
        <f t="shared" ref="B16:U16" si="1">SUM(B12:B15)</f>
        <v>22670.331520597014</v>
      </c>
      <c r="C16" s="328">
        <f t="shared" si="1"/>
        <v>-5756.5120395005542</v>
      </c>
      <c r="D16" s="328">
        <f t="shared" si="1"/>
        <v>7581.7149594901202</v>
      </c>
      <c r="E16" s="328">
        <f t="shared" si="1"/>
        <v>20447.937252311007</v>
      </c>
      <c r="F16" s="328">
        <f t="shared" si="1"/>
        <v>32622.993530140251</v>
      </c>
      <c r="G16" s="328">
        <f t="shared" si="1"/>
        <v>40885.400489932901</v>
      </c>
      <c r="H16" s="328">
        <f t="shared" si="1"/>
        <v>46518.851613406478</v>
      </c>
      <c r="I16" s="328">
        <f t="shared" si="1"/>
        <v>49690.460936573749</v>
      </c>
      <c r="J16" s="328">
        <f t="shared" si="1"/>
        <v>53359.232602334239</v>
      </c>
      <c r="K16" s="328">
        <f t="shared" si="1"/>
        <v>56990.336860957512</v>
      </c>
      <c r="L16" s="328">
        <f t="shared" si="1"/>
        <v>60620.052729544586</v>
      </c>
      <c r="M16" s="328">
        <f t="shared" si="1"/>
        <v>64347.056501677471</v>
      </c>
      <c r="N16" s="328">
        <f t="shared" si="1"/>
        <v>68178.441510114921</v>
      </c>
      <c r="O16" s="328">
        <f t="shared" si="1"/>
        <v>72311.050911652346</v>
      </c>
      <c r="P16" s="328">
        <f t="shared" si="1"/>
        <v>76379.874201272483</v>
      </c>
      <c r="Q16" s="328">
        <f t="shared" si="1"/>
        <v>103026.9195280873</v>
      </c>
      <c r="R16" s="328">
        <f t="shared" si="1"/>
        <v>129449.5833723977</v>
      </c>
      <c r="S16" s="328">
        <f t="shared" si="1"/>
        <v>134215.58217425324</v>
      </c>
      <c r="T16" s="328">
        <f t="shared" si="1"/>
        <v>139276.20354851917</v>
      </c>
      <c r="U16" s="328">
        <f t="shared" si="1"/>
        <v>144656.3037112247</v>
      </c>
      <c r="V16" s="329"/>
      <c r="W16" s="319"/>
      <c r="X16" s="320"/>
      <c r="Y16" s="160"/>
    </row>
    <row r="17" spans="1:25">
      <c r="A17" s="327"/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9"/>
      <c r="W17" s="329"/>
    </row>
    <row r="18" spans="1:25">
      <c r="A18" s="38" t="s">
        <v>127</v>
      </c>
      <c r="B18" s="330">
        <f>Assumptions!$G$37</f>
        <v>0.35</v>
      </c>
      <c r="C18" s="330">
        <f>Assumptions!$G$37</f>
        <v>0.35</v>
      </c>
      <c r="D18" s="330">
        <f>Assumptions!$G$37</f>
        <v>0.35</v>
      </c>
      <c r="E18" s="330">
        <f>Assumptions!$G$37</f>
        <v>0.35</v>
      </c>
      <c r="F18" s="330">
        <f>Assumptions!$G$37</f>
        <v>0.35</v>
      </c>
      <c r="G18" s="330">
        <f>Assumptions!$G$37</f>
        <v>0.35</v>
      </c>
      <c r="H18" s="330">
        <f>Assumptions!$G$37</f>
        <v>0.35</v>
      </c>
      <c r="I18" s="330">
        <f>Assumptions!$G$37</f>
        <v>0.35</v>
      </c>
      <c r="J18" s="330">
        <f>Assumptions!$G$37</f>
        <v>0.35</v>
      </c>
      <c r="K18" s="330">
        <f>Assumptions!$G$37</f>
        <v>0.35</v>
      </c>
      <c r="L18" s="330">
        <f>Assumptions!$G$37</f>
        <v>0.35</v>
      </c>
      <c r="M18" s="330">
        <f>Assumptions!$G$37</f>
        <v>0.35</v>
      </c>
      <c r="N18" s="330">
        <f>Assumptions!$G$37</f>
        <v>0.35</v>
      </c>
      <c r="O18" s="330">
        <f>Assumptions!$G$37</f>
        <v>0.35</v>
      </c>
      <c r="P18" s="330">
        <f>Assumptions!$G$37</f>
        <v>0.35</v>
      </c>
      <c r="Q18" s="330">
        <f>Assumptions!$G$37</f>
        <v>0.35</v>
      </c>
      <c r="R18" s="330">
        <f>Assumptions!$G$37</f>
        <v>0.35</v>
      </c>
      <c r="S18" s="330">
        <f>Assumptions!$G$37</f>
        <v>0.35</v>
      </c>
      <c r="T18" s="330">
        <f>Assumptions!$G$37</f>
        <v>0.35</v>
      </c>
      <c r="U18" s="330">
        <f>Assumptions!$G$37</f>
        <v>0.35</v>
      </c>
      <c r="V18" s="331"/>
      <c r="W18" s="331"/>
    </row>
    <row r="19" spans="1:25">
      <c r="A19" s="327" t="s">
        <v>128</v>
      </c>
      <c r="B19" s="328">
        <f t="shared" ref="B19:U19" si="2">B16*B18</f>
        <v>7934.6160322089545</v>
      </c>
      <c r="C19" s="328">
        <f t="shared" si="2"/>
        <v>-2014.7792138251939</v>
      </c>
      <c r="D19" s="328">
        <f t="shared" si="2"/>
        <v>2653.6002358215419</v>
      </c>
      <c r="E19" s="328">
        <f t="shared" si="2"/>
        <v>7156.778038308852</v>
      </c>
      <c r="F19" s="328">
        <f t="shared" si="2"/>
        <v>11418.047735549088</v>
      </c>
      <c r="G19" s="328">
        <f t="shared" si="2"/>
        <v>14309.890171476514</v>
      </c>
      <c r="H19" s="328">
        <f t="shared" si="2"/>
        <v>16281.598064692265</v>
      </c>
      <c r="I19" s="328">
        <f t="shared" si="2"/>
        <v>17391.661327800812</v>
      </c>
      <c r="J19" s="328">
        <f t="shared" si="2"/>
        <v>18675.731410816981</v>
      </c>
      <c r="K19" s="328">
        <f t="shared" si="2"/>
        <v>19946.617901335128</v>
      </c>
      <c r="L19" s="328">
        <f t="shared" si="2"/>
        <v>21217.018455340603</v>
      </c>
      <c r="M19" s="328">
        <f t="shared" si="2"/>
        <v>22521.469775587113</v>
      </c>
      <c r="N19" s="328">
        <f t="shared" si="2"/>
        <v>23862.45452854022</v>
      </c>
      <c r="O19" s="328">
        <f t="shared" si="2"/>
        <v>25308.867819078321</v>
      </c>
      <c r="P19" s="328">
        <f t="shared" si="2"/>
        <v>26732.955970445368</v>
      </c>
      <c r="Q19" s="328">
        <f t="shared" si="2"/>
        <v>36059.421834830551</v>
      </c>
      <c r="R19" s="328">
        <f t="shared" si="2"/>
        <v>45307.354180339193</v>
      </c>
      <c r="S19" s="328">
        <f t="shared" si="2"/>
        <v>46975.453760988632</v>
      </c>
      <c r="T19" s="328">
        <f t="shared" si="2"/>
        <v>48746.671241981705</v>
      </c>
      <c r="U19" s="328">
        <f t="shared" si="2"/>
        <v>50629.706298928642</v>
      </c>
      <c r="V19" s="323"/>
      <c r="W19" s="323"/>
    </row>
    <row r="20" spans="1:25">
      <c r="A20" s="9"/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324"/>
      <c r="W20" s="324"/>
    </row>
    <row r="21" spans="1:25">
      <c r="A21" s="9" t="s">
        <v>197</v>
      </c>
      <c r="B21" s="332">
        <f>IF(B19&lt;0,-B19,0)</f>
        <v>0</v>
      </c>
      <c r="C21" s="332">
        <f>IF(C19&lt;0,-C19+B21-B22,B21-B22)</f>
        <v>2014.7792138251939</v>
      </c>
      <c r="D21" s="332">
        <f t="shared" ref="D21:U21" si="3">IF(D19&lt;0,-D19+C21-C22,C21-C22)</f>
        <v>2014.7792138251939</v>
      </c>
      <c r="E21" s="332">
        <f t="shared" si="3"/>
        <v>0</v>
      </c>
      <c r="F21" s="332">
        <f t="shared" si="3"/>
        <v>0</v>
      </c>
      <c r="G21" s="332">
        <f t="shared" si="3"/>
        <v>0</v>
      </c>
      <c r="H21" s="332">
        <f t="shared" si="3"/>
        <v>0</v>
      </c>
      <c r="I21" s="332">
        <f t="shared" si="3"/>
        <v>0</v>
      </c>
      <c r="J21" s="332">
        <f t="shared" si="3"/>
        <v>0</v>
      </c>
      <c r="K21" s="332">
        <f t="shared" si="3"/>
        <v>0</v>
      </c>
      <c r="L21" s="332">
        <f t="shared" si="3"/>
        <v>0</v>
      </c>
      <c r="M21" s="332">
        <f t="shared" si="3"/>
        <v>0</v>
      </c>
      <c r="N21" s="332">
        <f t="shared" si="3"/>
        <v>0</v>
      </c>
      <c r="O21" s="332">
        <f t="shared" si="3"/>
        <v>0</v>
      </c>
      <c r="P21" s="332">
        <f t="shared" si="3"/>
        <v>0</v>
      </c>
      <c r="Q21" s="332">
        <f t="shared" si="3"/>
        <v>0</v>
      </c>
      <c r="R21" s="332">
        <f t="shared" si="3"/>
        <v>0</v>
      </c>
      <c r="S21" s="332">
        <f t="shared" si="3"/>
        <v>0</v>
      </c>
      <c r="T21" s="332">
        <f t="shared" si="3"/>
        <v>0</v>
      </c>
      <c r="U21" s="332">
        <f t="shared" si="3"/>
        <v>0</v>
      </c>
      <c r="V21" s="323"/>
      <c r="W21" s="323"/>
    </row>
    <row r="22" spans="1:25">
      <c r="A22" s="9" t="s">
        <v>124</v>
      </c>
      <c r="B22" s="322">
        <f t="shared" ref="B22:U22" si="4">IF(B19&lt;0,0,IF(B21&gt;B19,B19,B21))</f>
        <v>0</v>
      </c>
      <c r="C22" s="322">
        <f t="shared" si="4"/>
        <v>0</v>
      </c>
      <c r="D22" s="322">
        <f t="shared" si="4"/>
        <v>2014.7792138251939</v>
      </c>
      <c r="E22" s="322">
        <f t="shared" si="4"/>
        <v>0</v>
      </c>
      <c r="F22" s="322">
        <f t="shared" si="4"/>
        <v>0</v>
      </c>
      <c r="G22" s="322">
        <f t="shared" si="4"/>
        <v>0</v>
      </c>
      <c r="H22" s="332">
        <f t="shared" si="4"/>
        <v>0</v>
      </c>
      <c r="I22" s="332">
        <f t="shared" si="4"/>
        <v>0</v>
      </c>
      <c r="J22" s="332">
        <f t="shared" si="4"/>
        <v>0</v>
      </c>
      <c r="K22" s="332">
        <f t="shared" si="4"/>
        <v>0</v>
      </c>
      <c r="L22" s="332">
        <f t="shared" si="4"/>
        <v>0</v>
      </c>
      <c r="M22" s="332">
        <f t="shared" si="4"/>
        <v>0</v>
      </c>
      <c r="N22" s="332">
        <f t="shared" si="4"/>
        <v>0</v>
      </c>
      <c r="O22" s="332">
        <f t="shared" si="4"/>
        <v>0</v>
      </c>
      <c r="P22" s="332">
        <f t="shared" si="4"/>
        <v>0</v>
      </c>
      <c r="Q22" s="332">
        <f t="shared" si="4"/>
        <v>0</v>
      </c>
      <c r="R22" s="332">
        <f t="shared" si="4"/>
        <v>0</v>
      </c>
      <c r="S22" s="332">
        <f t="shared" si="4"/>
        <v>0</v>
      </c>
      <c r="T22" s="332">
        <f t="shared" si="4"/>
        <v>0</v>
      </c>
      <c r="U22" s="332">
        <f t="shared" si="4"/>
        <v>0</v>
      </c>
      <c r="V22" s="333"/>
      <c r="W22" s="333"/>
    </row>
    <row r="23" spans="1:25">
      <c r="A23" s="9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3"/>
      <c r="W23" s="323"/>
    </row>
    <row r="24" spans="1:25" ht="13.5" thickBot="1">
      <c r="A24" s="14" t="s">
        <v>198</v>
      </c>
      <c r="B24" s="334">
        <f t="shared" ref="B24:T24" si="5">IF(B19&lt;0,0,(B19-B22))</f>
        <v>7934.6160322089545</v>
      </c>
      <c r="C24" s="334">
        <f t="shared" si="5"/>
        <v>0</v>
      </c>
      <c r="D24" s="334">
        <f t="shared" si="5"/>
        <v>638.82102199634801</v>
      </c>
      <c r="E24" s="334">
        <f t="shared" si="5"/>
        <v>7156.778038308852</v>
      </c>
      <c r="F24" s="334">
        <f t="shared" si="5"/>
        <v>11418.047735549088</v>
      </c>
      <c r="G24" s="334">
        <f t="shared" si="5"/>
        <v>14309.890171476514</v>
      </c>
      <c r="H24" s="334">
        <f t="shared" si="5"/>
        <v>16281.598064692265</v>
      </c>
      <c r="I24" s="334">
        <f t="shared" si="5"/>
        <v>17391.661327800812</v>
      </c>
      <c r="J24" s="334">
        <f t="shared" si="5"/>
        <v>18675.731410816981</v>
      </c>
      <c r="K24" s="334">
        <f t="shared" si="5"/>
        <v>19946.617901335128</v>
      </c>
      <c r="L24" s="334">
        <f t="shared" si="5"/>
        <v>21217.018455340603</v>
      </c>
      <c r="M24" s="334">
        <f t="shared" si="5"/>
        <v>22521.469775587113</v>
      </c>
      <c r="N24" s="334">
        <f t="shared" si="5"/>
        <v>23862.45452854022</v>
      </c>
      <c r="O24" s="334">
        <f t="shared" si="5"/>
        <v>25308.867819078321</v>
      </c>
      <c r="P24" s="334">
        <f t="shared" si="5"/>
        <v>26732.955970445368</v>
      </c>
      <c r="Q24" s="334">
        <f t="shared" si="5"/>
        <v>36059.421834830551</v>
      </c>
      <c r="R24" s="334">
        <f t="shared" si="5"/>
        <v>45307.354180339193</v>
      </c>
      <c r="S24" s="334">
        <f t="shared" si="5"/>
        <v>46975.453760988632</v>
      </c>
      <c r="T24" s="334">
        <f t="shared" si="5"/>
        <v>48746.671241981705</v>
      </c>
      <c r="U24" s="334">
        <f>IF(U19&lt;0,0,(U19-U22))</f>
        <v>50629.706298928642</v>
      </c>
      <c r="V24" s="335"/>
      <c r="W24" s="319">
        <f>SUM(B24:U24)</f>
        <v>461115.13557024527</v>
      </c>
      <c r="X24" s="320">
        <f>SUM(Gleason!W56,Wheatland!W56,Wilton!W56)</f>
        <v>-461115.13557024527</v>
      </c>
      <c r="Y24" s="160">
        <f>X24+W24</f>
        <v>0</v>
      </c>
    </row>
    <row r="25" spans="1:25" ht="13.5" thickTop="1"/>
  </sheetData>
  <pageMargins left="0.75" right="0.75" top="1" bottom="1" header="0.5" footer="0.5"/>
  <pageSetup scale="57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S97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8.7109375" style="6" customWidth="1"/>
    <col min="2" max="21" width="10.7109375" style="6" customWidth="1"/>
    <col min="22" max="22" width="9.140625" style="96"/>
    <col min="23" max="23" width="12.285156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136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939.34705256873599</v>
      </c>
      <c r="AA7" s="166">
        <f>C10</f>
        <v>967.52746414579792</v>
      </c>
      <c r="AB7" s="166">
        <f>D10</f>
        <v>996.55328807017202</v>
      </c>
      <c r="AC7" s="166">
        <f t="shared" ref="AC7:AS7" si="0">E10</f>
        <v>1026.449886712277</v>
      </c>
      <c r="AD7" s="166">
        <f t="shared" si="0"/>
        <v>1057.2433833136454</v>
      </c>
      <c r="AE7" s="166">
        <f t="shared" si="0"/>
        <v>1088.9606848130547</v>
      </c>
      <c r="AF7" s="166">
        <f t="shared" si="0"/>
        <v>1121.6295053574463</v>
      </c>
      <c r="AG7" s="166">
        <f t="shared" si="0"/>
        <v>1155.2783905181698</v>
      </c>
      <c r="AH7" s="166">
        <f t="shared" si="0"/>
        <v>1189.9367422337148</v>
      </c>
      <c r="AI7" s="166">
        <f t="shared" si="0"/>
        <v>1225.6348445007263</v>
      </c>
      <c r="AJ7" s="166">
        <f t="shared" si="0"/>
        <v>1262.4038898357483</v>
      </c>
      <c r="AK7" s="166">
        <f t="shared" si="0"/>
        <v>1300.2760065308205</v>
      </c>
      <c r="AL7" s="166">
        <f t="shared" si="0"/>
        <v>1339.2842867267448</v>
      </c>
      <c r="AM7" s="166">
        <f t="shared" si="0"/>
        <v>1379.4628153285473</v>
      </c>
      <c r="AN7" s="166">
        <f t="shared" si="0"/>
        <v>1420.8466997884038</v>
      </c>
      <c r="AO7" s="166">
        <f t="shared" si="0"/>
        <v>1463.4721007820558</v>
      </c>
      <c r="AP7" s="166">
        <f t="shared" si="0"/>
        <v>1507.3762638055175</v>
      </c>
      <c r="AQ7" s="166">
        <f t="shared" si="0"/>
        <v>1552.597551719683</v>
      </c>
      <c r="AR7" s="166">
        <f t="shared" si="0"/>
        <v>1599.1754782712733</v>
      </c>
      <c r="AS7" s="166">
        <f t="shared" si="0"/>
        <v>1647.1507426194116</v>
      </c>
    </row>
    <row r="8" spans="1:45">
      <c r="A8" s="173" t="s">
        <v>227</v>
      </c>
      <c r="W8" s="172"/>
      <c r="X8" s="5"/>
      <c r="Y8" s="390">
        <v>0</v>
      </c>
      <c r="Z8" s="338">
        <f>B17+1/3*B18</f>
        <v>939.3470525687361</v>
      </c>
      <c r="AA8" s="338">
        <f>C17+1/3*C18</f>
        <v>967.52746414579826</v>
      </c>
      <c r="AB8" s="338">
        <f>D17+1/3*D18</f>
        <v>996.55328807017224</v>
      </c>
      <c r="AC8" s="338">
        <f t="shared" ref="AC8:AS8" si="1">E17+1/3*E18</f>
        <v>1026.449886712277</v>
      </c>
      <c r="AD8" s="338">
        <f t="shared" si="1"/>
        <v>1057.2433833136454</v>
      </c>
      <c r="AE8" s="338">
        <f t="shared" si="1"/>
        <v>1088.9606848130547</v>
      </c>
      <c r="AF8" s="338">
        <f t="shared" si="1"/>
        <v>1121.6295053574463</v>
      </c>
      <c r="AG8" s="338">
        <f t="shared" si="1"/>
        <v>1155.2783905181698</v>
      </c>
      <c r="AH8" s="338">
        <f t="shared" si="1"/>
        <v>1189.9367422337148</v>
      </c>
      <c r="AI8" s="338">
        <f t="shared" si="1"/>
        <v>1225.6348445007263</v>
      </c>
      <c r="AJ8" s="338">
        <f t="shared" si="1"/>
        <v>1262.4038898357483</v>
      </c>
      <c r="AK8" s="338">
        <f t="shared" si="1"/>
        <v>1300.2760065308205</v>
      </c>
      <c r="AL8" s="338">
        <f t="shared" si="1"/>
        <v>1339.284286726745</v>
      </c>
      <c r="AM8" s="338">
        <f t="shared" si="1"/>
        <v>1379.4628153285473</v>
      </c>
      <c r="AN8" s="338">
        <f t="shared" si="1"/>
        <v>1420.8466997884041</v>
      </c>
      <c r="AO8" s="338">
        <f t="shared" si="1"/>
        <v>1463.472100782056</v>
      </c>
      <c r="AP8" s="338">
        <f t="shared" si="1"/>
        <v>1507.3762638055177</v>
      </c>
      <c r="AQ8" s="338">
        <f t="shared" si="1"/>
        <v>1552.5975517196832</v>
      </c>
      <c r="AR8" s="338">
        <f t="shared" si="1"/>
        <v>1599.1754782712735</v>
      </c>
      <c r="AS8" s="338">
        <f t="shared" si="1"/>
        <v>1647.1507426194119</v>
      </c>
    </row>
    <row r="9" spans="1:45">
      <c r="A9" s="175" t="s">
        <v>51</v>
      </c>
      <c r="B9" s="180">
        <f>'Power Price Assumption'!C20*Assumptions!$C$9*12</f>
        <v>33979.299552548473</v>
      </c>
      <c r="C9" s="180">
        <f>'Power Price Assumption'!D20*Assumptions!$C$9*12</f>
        <v>35664.209969513919</v>
      </c>
      <c r="D9" s="180">
        <f>'Power Price Assumption'!E20*Assumptions!$C$9*12</f>
        <v>37432.668992559607</v>
      </c>
      <c r="E9" s="180">
        <f>'Power Price Assumption'!F20*Assumptions!$C$9*12</f>
        <v>39288.819494509924</v>
      </c>
      <c r="F9" s="180">
        <f>'Power Price Assumption'!G20*Assumptions!$C$9*12</f>
        <v>41237.009778250213</v>
      </c>
      <c r="G9" s="180">
        <f>'Power Price Assumption'!H20*Assumptions!$C$9*12</f>
        <v>41765.821079137233</v>
      </c>
      <c r="H9" s="180">
        <f>'Power Price Assumption'!I20*Assumptions!$C$9*12</f>
        <v>42301.41370081959</v>
      </c>
      <c r="I9" s="180">
        <f>'Power Price Assumption'!J20*Assumptions!$C$9*12</f>
        <v>42843.874604963254</v>
      </c>
      <c r="J9" s="180">
        <f>'Power Price Assumption'!K20*Assumptions!$C$9*12</f>
        <v>43393.291868405126</v>
      </c>
      <c r="K9" s="180">
        <f>'Power Price Assumption'!L20*Assumptions!$C$9*12</f>
        <v>43949.754697453536</v>
      </c>
      <c r="L9" s="180">
        <f>'Power Price Assumption'!M20*Assumptions!$C$9*12</f>
        <v>44781.378776473983</v>
      </c>
      <c r="M9" s="180">
        <f>'Power Price Assumption'!N20*Assumptions!$C$9*12</f>
        <v>45628.738975378772</v>
      </c>
      <c r="N9" s="180">
        <f>'Power Price Assumption'!O20*Assumptions!$C$9*12</f>
        <v>46492.133055470462</v>
      </c>
      <c r="O9" s="180">
        <f>'Power Price Assumption'!P20*Assumptions!$C$9*12</f>
        <v>47371.864412337192</v>
      </c>
      <c r="P9" s="180">
        <f>'Power Price Assumption'!Q20*Assumptions!$C$9*12</f>
        <v>48268.242182465561</v>
      </c>
      <c r="Q9" s="180">
        <f>'Power Price Assumption'!R20*Assumptions!$C$9*12</f>
        <v>48956.905260957668</v>
      </c>
      <c r="R9" s="180">
        <f>'Power Price Assumption'!S20*Assumptions!$C$9*12</f>
        <v>49655.393781898791</v>
      </c>
      <c r="S9" s="180">
        <f>'Power Price Assumption'!T20*Assumptions!$C$9*12</f>
        <v>50363.847928961215</v>
      </c>
      <c r="T9" s="180">
        <f>'Power Price Assumption'!U20*Assumptions!$C$9*12</f>
        <v>51082.409885875939</v>
      </c>
      <c r="U9" s="180">
        <f>'Power Price Assumption'!V20*Assumptions!$C$9*12</f>
        <v>51811.223864968488</v>
      </c>
      <c r="V9" s="339"/>
      <c r="W9" s="172">
        <f>SUM(B9:U9)</f>
        <v>886268.30186294869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1/3*Assumptions!$C$18*Assumptions!$C$11*Assumptions!$C$8/1000*(1+Assumptions!$C$25)^(B5-2000)+Assumptions!$C$19*Assumptions!$C$17*(1+Assumptions!$C$25)^(B5-2000)/1000</f>
        <v>939.34705256873599</v>
      </c>
      <c r="C10" s="161">
        <f>1/3*Assumptions!$C$18*Assumptions!$C$11*Assumptions!$C$8/1000*(1+Assumptions!$C$25)^(C5-2000)+Assumptions!$C$19*Assumptions!$C$17*(1+Assumptions!$C$25)^(C5-2000)/1000</f>
        <v>967.52746414579792</v>
      </c>
      <c r="D10" s="161">
        <f>1/3*Assumptions!$C$18*Assumptions!$C$11*Assumptions!$C$8/1000*(1+Assumptions!$C$25)^(D5-2000)+Assumptions!$C$19*Assumptions!$C$17*(1+Assumptions!$C$25)^(D5-2000)/1000</f>
        <v>996.55328807017202</v>
      </c>
      <c r="E10" s="161">
        <f>1/3*Assumptions!$C$18*Assumptions!$C$11*Assumptions!$C$8/1000*(1+Assumptions!$C$25)^(E5-2000)+Assumptions!$C$19*Assumptions!$C$17*(1+Assumptions!$C$25)^(E5-2000)/1000</f>
        <v>1026.449886712277</v>
      </c>
      <c r="F10" s="161">
        <f>1/3*Assumptions!$C$18*Assumptions!$C$11*Assumptions!$C$8/1000*(1+Assumptions!$C$25)^(F5-2000)+Assumptions!$C$19*Assumptions!$C$17*(1+Assumptions!$C$25)^(F5-2000)/1000</f>
        <v>1057.2433833136454</v>
      </c>
      <c r="G10" s="161">
        <f>1/3*Assumptions!$C$18*Assumptions!$C$11*Assumptions!$C$8/1000*(1+Assumptions!$C$25)^(G5-2000)+Assumptions!$C$19*Assumptions!$C$17*(1+Assumptions!$C$25)^(G5-2000)/1000</f>
        <v>1088.9606848130547</v>
      </c>
      <c r="H10" s="161">
        <f>1/3*Assumptions!$C$18*Assumptions!$C$11*Assumptions!$C$8/1000*(1+Assumptions!$C$25)^(H5-2000)+Assumptions!$C$19*Assumptions!$C$17*(1+Assumptions!$C$25)^(H5-2000)/1000</f>
        <v>1121.6295053574463</v>
      </c>
      <c r="I10" s="161">
        <f>1/3*Assumptions!$C$18*Assumptions!$C$11*Assumptions!$C$8/1000*(1+Assumptions!$C$25)^(I5-2000)+Assumptions!$C$19*Assumptions!$C$17*(1+Assumptions!$C$25)^(I5-2000)/1000</f>
        <v>1155.2783905181698</v>
      </c>
      <c r="J10" s="161">
        <f>1/3*Assumptions!$C$18*Assumptions!$C$11*Assumptions!$C$8/1000*(1+Assumptions!$C$25)^(J5-2000)+Assumptions!$C$19*Assumptions!$C$17*(1+Assumptions!$C$25)^(J5-2000)/1000</f>
        <v>1189.9367422337148</v>
      </c>
      <c r="K10" s="161">
        <f>1/3*Assumptions!$C$18*Assumptions!$C$11*Assumptions!$C$8/1000*(1+Assumptions!$C$25)^(K5-2000)+Assumptions!$C$19*Assumptions!$C$17*(1+Assumptions!$C$25)^(K5-2000)/1000</f>
        <v>1225.6348445007263</v>
      </c>
      <c r="L10" s="161">
        <f>1/3*Assumptions!$C$18*Assumptions!$C$11*Assumptions!$C$8/1000*(1+Assumptions!$C$25)^(L5-2000)+Assumptions!$C$19*Assumptions!$C$17*(1+Assumptions!$C$25)^(L5-2000)/1000</f>
        <v>1262.4038898357483</v>
      </c>
      <c r="M10" s="161">
        <f>1/3*Assumptions!$C$18*Assumptions!$C$11*Assumptions!$C$8/1000*(1+Assumptions!$C$25)^(M5-2000)+Assumptions!$C$19*Assumptions!$C$17*(1+Assumptions!$C$25)^(M5-2000)/1000</f>
        <v>1300.2760065308205</v>
      </c>
      <c r="N10" s="161">
        <f>1/3*Assumptions!$C$18*Assumptions!$C$11*Assumptions!$C$8/1000*(1+Assumptions!$C$25)^(N5-2000)+Assumptions!$C$19*Assumptions!$C$17*(1+Assumptions!$C$25)^(N5-2000)/1000</f>
        <v>1339.2842867267448</v>
      </c>
      <c r="O10" s="161">
        <f>1/3*Assumptions!$C$18*Assumptions!$C$11*Assumptions!$C$8/1000*(1+Assumptions!$C$25)^(O5-2000)+Assumptions!$C$19*Assumptions!$C$17*(1+Assumptions!$C$25)^(O5-2000)/1000</f>
        <v>1379.4628153285473</v>
      </c>
      <c r="P10" s="161">
        <f>1/3*Assumptions!$C$18*Assumptions!$C$11*Assumptions!$C$8/1000*(1+Assumptions!$C$25)^(P5-2000)+Assumptions!$C$19*Assumptions!$C$17*(1+Assumptions!$C$25)^(P5-2000)/1000</f>
        <v>1420.8466997884038</v>
      </c>
      <c r="Q10" s="161">
        <f>1/3*Assumptions!$C$18*Assumptions!$C$11*Assumptions!$C$8/1000*(1+Assumptions!$C$25)^(Q5-2000)+Assumptions!$C$19*Assumptions!$C$17*(1+Assumptions!$C$25)^(Q5-2000)/1000</f>
        <v>1463.4721007820558</v>
      </c>
      <c r="R10" s="161">
        <f>1/3*Assumptions!$C$18*Assumptions!$C$11*Assumptions!$C$8/1000*(1+Assumptions!$C$25)^(R5-2000)+Assumptions!$C$19*Assumptions!$C$17*(1+Assumptions!$C$25)^(R5-2000)/1000</f>
        <v>1507.3762638055175</v>
      </c>
      <c r="S10" s="161">
        <f>1/3*Assumptions!$C$18*Assumptions!$C$11*Assumptions!$C$8/1000*(1+Assumptions!$C$25)^(S5-2000)+Assumptions!$C$19*Assumptions!$C$17*(1+Assumptions!$C$25)^(S5-2000)/1000</f>
        <v>1552.597551719683</v>
      </c>
      <c r="T10" s="161">
        <f>1/3*Assumptions!$C$18*Assumptions!$C$11*Assumptions!$C$8/1000*(1+Assumptions!$C$25)^(T5-2000)+Assumptions!$C$19*Assumptions!$C$17*(1+Assumptions!$C$25)^(T5-2000)/1000</f>
        <v>1599.1754782712733</v>
      </c>
      <c r="U10" s="161">
        <f>1/3*Assumptions!$C$18*Assumptions!$C$11*Assumptions!$C$8/1000*(1+Assumptions!$C$25)^(U5-2000)+Assumptions!$C$19*Assumptions!$C$17*(1+Assumptions!$C$25)^(U5-2000)/1000</f>
        <v>1647.1507426194116</v>
      </c>
      <c r="V10" s="339"/>
      <c r="W10" s="172">
        <f>SUM(B10:U10)</f>
        <v>25240.607077641944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392.38827188739941</v>
      </c>
      <c r="C12" s="272">
        <f>(SUM(C8:C10)-SUM(C16:C21))*'Summary Output'!$B$24/4</f>
        <v>410.85812287611628</v>
      </c>
      <c r="D12" s="272">
        <f>(SUM(D8:D10)-SUM(D16:D21))*'Summary Output'!$B$24/4</f>
        <v>431.38004495345371</v>
      </c>
      <c r="E12" s="272">
        <f>(SUM(E8:E10)-SUM(E16:E21))*'Summary Output'!$B$24/4</f>
        <v>454.06712483173237</v>
      </c>
      <c r="F12" s="272">
        <f>(SUM(F8:F10)-SUM(F16:F21))*'Summary Output'!$B$24/4</f>
        <v>477.88270047645801</v>
      </c>
      <c r="G12" s="272">
        <f>(SUM(G8:G10)-SUM(G16:G21))*'Summary Output'!$B$24/4</f>
        <v>482.84300228441248</v>
      </c>
      <c r="H12" s="272">
        <f>(SUM(H8:H10)-SUM(H16:H21))*'Summary Output'!$B$24/4</f>
        <v>488.95510420466985</v>
      </c>
      <c r="I12" s="272">
        <f>(SUM(I8:I10)-SUM(I16:I21))*'Summary Output'!$B$24/4</f>
        <v>495.129018016126</v>
      </c>
      <c r="J12" s="272">
        <f>(SUM(J8:J10)-SUM(J16:J21))*'Summary Output'!$B$24/4</f>
        <v>501.36512343005489</v>
      </c>
      <c r="K12" s="272">
        <f>(SUM(K8:K10)-SUM(K16:K21))*'Summary Output'!$B$24/4</f>
        <v>507.66379263864803</v>
      </c>
      <c r="L12" s="272">
        <f>(SUM(L8:L10)-SUM(L16:L21))*'Summary Output'!$B$24/4</f>
        <v>517.37570652321176</v>
      </c>
      <c r="M12" s="272">
        <f>(SUM(M8:M10)-SUM(M16:M21))*'Summary Output'!$B$24/4</f>
        <v>527.25726282918936</v>
      </c>
      <c r="N12" s="272">
        <f>(SUM(N8:N10)-SUM(N16:N21))*'Summary Output'!$B$24/4</f>
        <v>532.94987180054875</v>
      </c>
      <c r="O12" s="272">
        <f>(SUM(O8:O10)-SUM(O16:O21))*'Summary Output'!$B$24/4</f>
        <v>543.17948975665774</v>
      </c>
      <c r="P12" s="272">
        <f>(SUM(P8:P10)-SUM(P16:P21))*'Summary Output'!$B$24/4</f>
        <v>548.13574469435105</v>
      </c>
      <c r="Q12" s="272">
        <f>(SUM(Q8:Q10)-SUM(Q16:Q21))*'Summary Output'!$B$24/4</f>
        <v>562.9734726943791</v>
      </c>
      <c r="R12" s="272">
        <f>(SUM(R8:R10)-SUM(R16:R21))*'Summary Output'!$B$24/4</f>
        <v>570.66018013966664</v>
      </c>
      <c r="S12" s="272">
        <f>(SUM(S8:S10)-SUM(S16:S21))*'Summary Output'!$B$24/4</f>
        <v>578.43542830304398</v>
      </c>
      <c r="T12" s="272">
        <f>(SUM(T8:T10)-SUM(T16:T21))*'Summary Output'!$B$24/4</f>
        <v>586.29995078944808</v>
      </c>
      <c r="U12" s="272">
        <f>(SUM(U8:U10)-SUM(U16:U21))*'Summary Output'!$B$24/4</f>
        <v>594.25447599442759</v>
      </c>
      <c r="V12" s="339"/>
      <c r="W12" s="172">
        <f>SUM(B12:U12)</f>
        <v>10204.053889123996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35311.034877004611</v>
      </c>
      <c r="C13" s="204">
        <f t="shared" si="3"/>
        <v>37042.595556535831</v>
      </c>
      <c r="D13" s="204">
        <f t="shared" si="3"/>
        <v>38860.602325583233</v>
      </c>
      <c r="E13" s="204">
        <f t="shared" si="3"/>
        <v>40769.336506053929</v>
      </c>
      <c r="F13" s="204">
        <f t="shared" si="3"/>
        <v>42772.135862040319</v>
      </c>
      <c r="G13" s="204">
        <f t="shared" si="3"/>
        <v>43337.624766234701</v>
      </c>
      <c r="H13" s="204">
        <f t="shared" si="3"/>
        <v>43911.998310381707</v>
      </c>
      <c r="I13" s="204">
        <f t="shared" si="3"/>
        <v>44494.282013497548</v>
      </c>
      <c r="J13" s="204">
        <f t="shared" si="3"/>
        <v>45084.593734068898</v>
      </c>
      <c r="K13" s="204">
        <f t="shared" si="3"/>
        <v>45683.053334592907</v>
      </c>
      <c r="L13" s="204">
        <f t="shared" si="3"/>
        <v>46561.158372832942</v>
      </c>
      <c r="M13" s="204">
        <f t="shared" si="3"/>
        <v>47456.272244738779</v>
      </c>
      <c r="N13" s="204">
        <f t="shared" si="3"/>
        <v>48364.367213997757</v>
      </c>
      <c r="O13" s="204">
        <f t="shared" si="3"/>
        <v>49294.506717422395</v>
      </c>
      <c r="P13" s="204">
        <f t="shared" si="3"/>
        <v>50237.224626948315</v>
      </c>
      <c r="Q13" s="204">
        <f t="shared" si="3"/>
        <v>50983.350834434103</v>
      </c>
      <c r="R13" s="204">
        <f t="shared" si="3"/>
        <v>51733.430225843978</v>
      </c>
      <c r="S13" s="204">
        <f t="shared" si="3"/>
        <v>52494.880908983941</v>
      </c>
      <c r="T13" s="204">
        <f t="shared" si="3"/>
        <v>53267.885314936662</v>
      </c>
      <c r="U13" s="204">
        <f t="shared" si="3"/>
        <v>54052.629083582331</v>
      </c>
      <c r="V13" s="339"/>
      <c r="W13" s="172">
        <f>SUM(B13:U13)</f>
        <v>921712.96282971499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Assumptions!C28*(1+Assumptions!$C$25)</f>
        <v>1279.7561657142855</v>
      </c>
      <c r="C16" s="172">
        <f>B16*(1+Assumptions!$C$25)</f>
        <v>1318.1488506857143</v>
      </c>
      <c r="D16" s="172">
        <f>C16*(1+Assumptions!$C$25)</f>
        <v>1357.6933162062858</v>
      </c>
      <c r="E16" s="172">
        <f>D16*(1+Assumptions!$C$25)</f>
        <v>1398.4241156924743</v>
      </c>
      <c r="F16" s="172">
        <f>E16*(1+Assumptions!$C$25)</f>
        <v>1440.3768391632486</v>
      </c>
      <c r="G16" s="172">
        <f>F16*(1+Assumptions!$C$25)</f>
        <v>1483.5881443381461</v>
      </c>
      <c r="H16" s="172">
        <f>G16*(1+Assumptions!$C$25)</f>
        <v>1528.0957886682904</v>
      </c>
      <c r="I16" s="172">
        <f>H16*(1+Assumptions!$C$25)</f>
        <v>1573.9386623283392</v>
      </c>
      <c r="J16" s="172">
        <f>I16*(1+Assumptions!$C$25)</f>
        <v>1621.1568221981895</v>
      </c>
      <c r="K16" s="172">
        <f>J16*(1+Assumptions!$C$25)</f>
        <v>1669.7915268641352</v>
      </c>
      <c r="L16" s="172">
        <f>K16*(1+Assumptions!$C$25)</f>
        <v>1719.8852726700593</v>
      </c>
      <c r="M16" s="172">
        <f>L16*(1+Assumptions!$C$25)</f>
        <v>1771.481830850161</v>
      </c>
      <c r="N16" s="172">
        <f>M16*(1+Assumptions!$C$25)</f>
        <v>1824.626285775666</v>
      </c>
      <c r="O16" s="172">
        <f>N16*(1+Assumptions!$C$25)</f>
        <v>1879.3650743489361</v>
      </c>
      <c r="P16" s="172">
        <f>O16*(1+Assumptions!$C$25)</f>
        <v>1935.7460265794043</v>
      </c>
      <c r="Q16" s="172">
        <f>P16*(1+Assumptions!$C$25)</f>
        <v>1993.8184073767866</v>
      </c>
      <c r="R16" s="172">
        <f>Q16*(1+Assumptions!$C$25)</f>
        <v>2053.6329595980901</v>
      </c>
      <c r="S16" s="172">
        <f>R16*(1+Assumptions!$C$25)</f>
        <v>2115.2419483860331</v>
      </c>
      <c r="T16" s="172">
        <f>S16*(1+Assumptions!$C$25)</f>
        <v>2178.6992068376139</v>
      </c>
      <c r="U16" s="172">
        <f>T16*(1+Assumptions!$C$25)</f>
        <v>2244.0601830427422</v>
      </c>
      <c r="V16" s="96"/>
      <c r="W16" s="172">
        <f t="shared" ref="W16:W22" si="4">SUM(B16:U16)</f>
        <v>34387.527427324596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Assumptions!$C$29*(1+Assumptions!$C$25)</f>
        <v>823.4720525687361</v>
      </c>
      <c r="C17" s="204">
        <f>B17*(1+Assumptions!$C$25)</f>
        <v>848.17621414579821</v>
      </c>
      <c r="D17" s="204">
        <f>C17*(1+Assumptions!$C$25)</f>
        <v>873.6215005701722</v>
      </c>
      <c r="E17" s="161">
        <f>Assumptions!$C$19*Assumptions!$C$23*(1+Assumptions!$C$25)^(E5-2000)/1000</f>
        <v>899.83014558727712</v>
      </c>
      <c r="F17" s="161">
        <f>Assumptions!$C$19*Assumptions!$C$23*(1+Assumptions!$C$25)^(F5-2000)/1000</f>
        <v>926.82504995489535</v>
      </c>
      <c r="G17" s="161">
        <f>Assumptions!$C$19*Assumptions!$C$23*(1+Assumptions!$C$25)^(G5-2000)/1000</f>
        <v>954.62980145354231</v>
      </c>
      <c r="H17" s="161">
        <f>Assumptions!$C$19*Assumptions!$C$23*(1+Assumptions!$C$25)^(H5-2000)/1000</f>
        <v>983.26869549714854</v>
      </c>
      <c r="I17" s="161">
        <f>Assumptions!$C$19*Assumptions!$C$23*(1+Assumptions!$C$25)^(I5-2000)/1000</f>
        <v>1012.7667563620629</v>
      </c>
      <c r="J17" s="161">
        <f>Assumptions!$C$19*Assumptions!$C$23*(1+Assumptions!$C$25)^(J5-2000)/1000</f>
        <v>1043.1497590529248</v>
      </c>
      <c r="K17" s="161">
        <f>Assumptions!$C$19*Assumptions!$C$23*(1+Assumptions!$C$25)^(K5-2000)/1000</f>
        <v>1074.4442518245125</v>
      </c>
      <c r="L17" s="161">
        <f>Assumptions!$C$19*Assumptions!$C$23*(1+Assumptions!$C$25)^(L5-2000)/1000</f>
        <v>1106.6775793792481</v>
      </c>
      <c r="M17" s="161">
        <f>Assumptions!$C$19*Assumptions!$C$23*(1+Assumptions!$C$25)^(M5-2000)/1000</f>
        <v>1139.8779067606254</v>
      </c>
      <c r="N17" s="161">
        <f>Assumptions!$C$19*Assumptions!$C$23*(1+Assumptions!$C$25)^(N5-2000)/1000</f>
        <v>1174.0742439634439</v>
      </c>
      <c r="O17" s="161">
        <f>Assumptions!$C$19*Assumptions!$C$23*(1+Assumptions!$C$25)^(O5-2000)/1000</f>
        <v>1209.2964712823473</v>
      </c>
      <c r="P17" s="161">
        <f>Assumptions!$C$19*Assumptions!$C$23*(1+Assumptions!$C$25)^(P5-2000)/1000</f>
        <v>1245.5753654208179</v>
      </c>
      <c r="Q17" s="161">
        <f>Assumptions!$C$19*Assumptions!$C$23*(1+Assumptions!$C$25)^(Q5-2000)/1000</f>
        <v>1282.9426263834423</v>
      </c>
      <c r="R17" s="161">
        <f>Assumptions!$C$19*Assumptions!$C$23*(1+Assumptions!$C$25)^(R5-2000)/1000</f>
        <v>1321.4309051749456</v>
      </c>
      <c r="S17" s="161">
        <f>Assumptions!$C$19*Assumptions!$C$23*(1+Assumptions!$C$25)^(S5-2000)/1000</f>
        <v>1361.0738323301939</v>
      </c>
      <c r="T17" s="161">
        <f>Assumptions!$C$19*Assumptions!$C$23*(1+Assumptions!$C$25)^(T5-2000)/1000</f>
        <v>1401.9060473000995</v>
      </c>
      <c r="U17" s="161">
        <f>Assumptions!$C$19*Assumptions!$C$23*(1+Assumptions!$C$25)^(U5-2000)/1000</f>
        <v>1443.9632287191027</v>
      </c>
      <c r="V17" s="96"/>
      <c r="W17" s="172">
        <f t="shared" si="4"/>
        <v>22127.002433731333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Assumptions!$C$24*Assumptions!$C$11*Assumptions!$C$8/1000*(1+Assumptions!$C$25)</f>
        <v>347.625</v>
      </c>
      <c r="C18" s="172">
        <f>B18*(1+Assumptions!$C$25)</f>
        <v>358.05375000000004</v>
      </c>
      <c r="D18" s="172">
        <f>C18*(1+Assumptions!$C$25)</f>
        <v>368.79536250000007</v>
      </c>
      <c r="E18" s="172">
        <f>D18*(1+Assumptions!$C$25)</f>
        <v>379.85922337500006</v>
      </c>
      <c r="F18" s="172">
        <f>E18*(1+Assumptions!$C$25)</f>
        <v>391.25500007625004</v>
      </c>
      <c r="G18" s="172">
        <f>F18*(1+Assumptions!$C$25)</f>
        <v>402.99265007853757</v>
      </c>
      <c r="H18" s="172">
        <f>G18*(1+Assumptions!$C$25)</f>
        <v>415.08242958089369</v>
      </c>
      <c r="I18" s="172">
        <f>H18*(1+Assumptions!$C$25)</f>
        <v>427.53490246832052</v>
      </c>
      <c r="J18" s="172">
        <f>I18*(1+Assumptions!$C$25)</f>
        <v>440.36094954237018</v>
      </c>
      <c r="K18" s="172">
        <f>J18*(1+Assumptions!$C$25)</f>
        <v>453.57177802864129</v>
      </c>
      <c r="L18" s="172">
        <f>K18*(1+Assumptions!$C$25)</f>
        <v>467.17893136950056</v>
      </c>
      <c r="M18" s="172">
        <f>L18*(1+Assumptions!$C$25)</f>
        <v>481.19429931058556</v>
      </c>
      <c r="N18" s="172">
        <f>M18*(1+Assumptions!$C$25)</f>
        <v>495.63012828990315</v>
      </c>
      <c r="O18" s="172">
        <f>N18*(1+Assumptions!$C$25)</f>
        <v>510.49903213860028</v>
      </c>
      <c r="P18" s="172">
        <f>O18*(1+Assumptions!$C$25)</f>
        <v>525.81400310275831</v>
      </c>
      <c r="Q18" s="172">
        <f>P18*(1+Assumptions!$C$25)</f>
        <v>541.58842319584107</v>
      </c>
      <c r="R18" s="172">
        <f>Q18*(1+Assumptions!$C$25)</f>
        <v>557.83607589171629</v>
      </c>
      <c r="S18" s="172">
        <f>R18*(1+Assumptions!$C$25)</f>
        <v>574.57115816846783</v>
      </c>
      <c r="T18" s="172">
        <f>S18*(1+Assumptions!$C$25)</f>
        <v>591.80829291352188</v>
      </c>
      <c r="U18" s="172">
        <f>T18*(1+Assumptions!$C$25)</f>
        <v>609.56254170092757</v>
      </c>
      <c r="V18" s="96"/>
      <c r="W18" s="172">
        <f t="shared" si="4"/>
        <v>9340.8139317318364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Assumptions!C31*(1+Assumptions!$C$25)</f>
        <v>331.91867714285718</v>
      </c>
      <c r="C19" s="172">
        <f>B19*(1+Assumptions!$C$25)</f>
        <v>341.87623745714291</v>
      </c>
      <c r="D19" s="172">
        <f>C19*(1+Assumptions!$C$25)</f>
        <v>352.13252458085719</v>
      </c>
      <c r="E19" s="172">
        <f>D19*(1+Assumptions!$C$25)</f>
        <v>362.69650031828292</v>
      </c>
      <c r="F19" s="172">
        <f>E19*(1+Assumptions!$C$25)</f>
        <v>373.57739532783143</v>
      </c>
      <c r="G19" s="172">
        <f>F19*(1+Assumptions!$C$25)</f>
        <v>384.78471718766639</v>
      </c>
      <c r="H19" s="172">
        <f>G19*(1+Assumptions!$C$25)</f>
        <v>396.3282587032964</v>
      </c>
      <c r="I19" s="172">
        <f>H19*(1+Assumptions!$C$25)</f>
        <v>408.21810646439531</v>
      </c>
      <c r="J19" s="172">
        <f>I19*(1+Assumptions!$C$25)</f>
        <v>420.46464965832718</v>
      </c>
      <c r="K19" s="172">
        <f>J19*(1+Assumptions!$C$25)</f>
        <v>433.07858914807701</v>
      </c>
      <c r="L19" s="172">
        <f>K19*(1+Assumptions!$C$25)</f>
        <v>446.07094682251932</v>
      </c>
      <c r="M19" s="172">
        <f>L19*(1+Assumptions!$C$25)</f>
        <v>459.45307522719492</v>
      </c>
      <c r="N19" s="172">
        <f>M19*(1+Assumptions!$C$25)</f>
        <v>473.23666748401075</v>
      </c>
      <c r="O19" s="172">
        <f>N19*(1+Assumptions!$C$25)</f>
        <v>487.4337675085311</v>
      </c>
      <c r="P19" s="172">
        <f>O19*(1+Assumptions!$C$25)</f>
        <v>502.05678053378705</v>
      </c>
      <c r="Q19" s="172">
        <f>P19*(1+Assumptions!$C$25)</f>
        <v>517.11848394980063</v>
      </c>
      <c r="R19" s="172">
        <f>Q19*(1+Assumptions!$C$25)</f>
        <v>532.6320384682947</v>
      </c>
      <c r="S19" s="172">
        <f>R19*(1+Assumptions!$C$25)</f>
        <v>548.61099962234357</v>
      </c>
      <c r="T19" s="172">
        <f>S19*(1+Assumptions!$C$25)</f>
        <v>565.06932961101393</v>
      </c>
      <c r="U19" s="172">
        <f>T19*(1+Assumptions!$C$25)</f>
        <v>582.02140949934437</v>
      </c>
      <c r="V19" s="96"/>
      <c r="W19" s="172">
        <f t="shared" si="4"/>
        <v>8918.7791547155739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174.46</v>
      </c>
      <c r="C20" s="341">
        <v>348.92</v>
      </c>
      <c r="D20" s="341">
        <v>436.15</v>
      </c>
      <c r="E20" s="341">
        <v>436.15</v>
      </c>
      <c r="F20" s="341">
        <v>436.15</v>
      </c>
      <c r="G20" s="341">
        <v>523.38</v>
      </c>
      <c r="H20" s="341">
        <v>523.38</v>
      </c>
      <c r="I20" s="341">
        <v>523.38</v>
      </c>
      <c r="J20" s="341">
        <v>523.38</v>
      </c>
      <c r="K20" s="341">
        <v>523.38</v>
      </c>
      <c r="L20" s="341">
        <v>523.38</v>
      </c>
      <c r="M20" s="341">
        <v>523.38</v>
      </c>
      <c r="N20" s="341">
        <v>872.3</v>
      </c>
      <c r="O20" s="341">
        <v>872.3</v>
      </c>
      <c r="P20" s="341">
        <v>1308.45</v>
      </c>
      <c r="Q20" s="341">
        <v>743.93104499999993</v>
      </c>
      <c r="R20" s="341">
        <v>758.80966589999991</v>
      </c>
      <c r="S20" s="341">
        <v>773.98585921799997</v>
      </c>
      <c r="T20" s="341">
        <v>789.46557640235994</v>
      </c>
      <c r="U20" s="341">
        <v>805.25488793040722</v>
      </c>
      <c r="V20" s="96"/>
      <c r="W20" s="172">
        <f t="shared" si="4"/>
        <v>12419.987034450767</v>
      </c>
    </row>
    <row r="21" spans="1:45">
      <c r="A21" s="175" t="s">
        <v>168</v>
      </c>
      <c r="B21" s="179">
        <f>B78</f>
        <v>570.35295869937954</v>
      </c>
      <c r="C21" s="179">
        <f t="shared" ref="C21:U21" si="5">C78</f>
        <v>547.91255128175533</v>
      </c>
      <c r="D21" s="179">
        <f t="shared" si="5"/>
        <v>530.42598049616743</v>
      </c>
      <c r="E21" s="179">
        <f t="shared" si="5"/>
        <v>512.93940971057953</v>
      </c>
      <c r="F21" s="179">
        <f t="shared" si="5"/>
        <v>495.45283892499162</v>
      </c>
      <c r="G21" s="179">
        <f t="shared" si="5"/>
        <v>477.96626813940372</v>
      </c>
      <c r="H21" s="179">
        <f t="shared" si="5"/>
        <v>460.47969735381582</v>
      </c>
      <c r="I21" s="179">
        <f t="shared" si="5"/>
        <v>442.99312656822792</v>
      </c>
      <c r="J21" s="179">
        <f t="shared" si="5"/>
        <v>425.50655578264002</v>
      </c>
      <c r="K21" s="179">
        <f t="shared" si="5"/>
        <v>408.01998499705212</v>
      </c>
      <c r="L21" s="179">
        <f t="shared" si="5"/>
        <v>390.53341421146422</v>
      </c>
      <c r="M21" s="179">
        <f t="shared" si="5"/>
        <v>373.04684342587632</v>
      </c>
      <c r="N21" s="179">
        <f t="shared" si="5"/>
        <v>355.56027264028842</v>
      </c>
      <c r="O21" s="179">
        <f t="shared" si="5"/>
        <v>338.07370185470052</v>
      </c>
      <c r="P21" s="179">
        <f t="shared" si="5"/>
        <v>320.58713106911256</v>
      </c>
      <c r="Q21" s="179">
        <f t="shared" si="5"/>
        <v>303.1005602835246</v>
      </c>
      <c r="R21" s="179">
        <f t="shared" si="5"/>
        <v>285.6139894979367</v>
      </c>
      <c r="S21" s="179">
        <f t="shared" si="5"/>
        <v>268.12741871234874</v>
      </c>
      <c r="T21" s="179">
        <f t="shared" si="5"/>
        <v>250.64084792676081</v>
      </c>
      <c r="U21" s="179">
        <f t="shared" si="5"/>
        <v>233.15427714117286</v>
      </c>
      <c r="V21" s="172"/>
      <c r="W21" s="172">
        <f t="shared" si="4"/>
        <v>7990.4878287172014</v>
      </c>
    </row>
    <row r="22" spans="1:45">
      <c r="A22" s="175" t="s">
        <v>55</v>
      </c>
      <c r="B22" s="161">
        <f t="shared" ref="B22:U22" si="6">SUM(B16:B21)</f>
        <v>3527.5848541252585</v>
      </c>
      <c r="C22" s="161">
        <f t="shared" si="6"/>
        <v>3763.0876035704109</v>
      </c>
      <c r="D22" s="161">
        <f t="shared" si="6"/>
        <v>3918.8186843534827</v>
      </c>
      <c r="E22" s="161">
        <f t="shared" si="6"/>
        <v>3989.899394683614</v>
      </c>
      <c r="F22" s="161">
        <f t="shared" si="6"/>
        <v>4063.6371234472172</v>
      </c>
      <c r="G22" s="161">
        <f t="shared" si="6"/>
        <v>4227.3415811972964</v>
      </c>
      <c r="H22" s="161">
        <f t="shared" si="6"/>
        <v>4306.6348698034453</v>
      </c>
      <c r="I22" s="161">
        <f t="shared" si="6"/>
        <v>4388.8315541913462</v>
      </c>
      <c r="J22" s="161">
        <f t="shared" si="6"/>
        <v>4474.0187362344514</v>
      </c>
      <c r="K22" s="161">
        <f t="shared" si="6"/>
        <v>4562.2861308624178</v>
      </c>
      <c r="L22" s="161">
        <f t="shared" si="6"/>
        <v>4653.7261444527921</v>
      </c>
      <c r="M22" s="161">
        <f t="shared" si="6"/>
        <v>4748.4339555744427</v>
      </c>
      <c r="N22" s="161">
        <f t="shared" si="6"/>
        <v>5195.4275981533119</v>
      </c>
      <c r="O22" s="161">
        <f t="shared" si="6"/>
        <v>5296.9680471331158</v>
      </c>
      <c r="P22" s="161">
        <f t="shared" si="6"/>
        <v>5838.2293067058799</v>
      </c>
      <c r="Q22" s="161">
        <f t="shared" si="6"/>
        <v>5382.4995461893959</v>
      </c>
      <c r="R22" s="161">
        <f t="shared" si="6"/>
        <v>5509.9556345309838</v>
      </c>
      <c r="S22" s="161">
        <f t="shared" si="6"/>
        <v>5641.6112164373872</v>
      </c>
      <c r="T22" s="161">
        <f t="shared" si="6"/>
        <v>5777.5893009913707</v>
      </c>
      <c r="U22" s="161">
        <f t="shared" si="6"/>
        <v>5918.0165280336969</v>
      </c>
      <c r="W22" s="172">
        <f t="shared" si="4"/>
        <v>95184.59781067133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31783.450022879351</v>
      </c>
      <c r="C25" s="168">
        <f t="shared" si="7"/>
        <v>33279.507952965418</v>
      </c>
      <c r="D25" s="168">
        <f t="shared" si="7"/>
        <v>34941.783641229747</v>
      </c>
      <c r="E25" s="168">
        <f t="shared" si="7"/>
        <v>36779.437111370316</v>
      </c>
      <c r="F25" s="168">
        <f t="shared" si="7"/>
        <v>38708.498738593102</v>
      </c>
      <c r="G25" s="168">
        <f t="shared" si="7"/>
        <v>39110.283185037406</v>
      </c>
      <c r="H25" s="168">
        <f t="shared" si="7"/>
        <v>39605.363440578265</v>
      </c>
      <c r="I25" s="168">
        <f t="shared" si="7"/>
        <v>40105.450459306201</v>
      </c>
      <c r="J25" s="168">
        <f t="shared" si="7"/>
        <v>40610.574997834447</v>
      </c>
      <c r="K25" s="168">
        <f t="shared" si="7"/>
        <v>41120.767203730487</v>
      </c>
      <c r="L25" s="168">
        <f t="shared" si="7"/>
        <v>41907.432228380152</v>
      </c>
      <c r="M25" s="168">
        <f t="shared" si="7"/>
        <v>42707.838289164334</v>
      </c>
      <c r="N25" s="168">
        <f t="shared" si="7"/>
        <v>43168.939615844443</v>
      </c>
      <c r="O25" s="168">
        <f t="shared" si="7"/>
        <v>43997.538670289279</v>
      </c>
      <c r="P25" s="168">
        <f t="shared" si="7"/>
        <v>44398.995320242437</v>
      </c>
      <c r="Q25" s="168">
        <f t="shared" si="7"/>
        <v>45600.85128824471</v>
      </c>
      <c r="R25" s="168">
        <f t="shared" si="7"/>
        <v>46223.474591312995</v>
      </c>
      <c r="S25" s="168">
        <f t="shared" si="7"/>
        <v>46853.269692546557</v>
      </c>
      <c r="T25" s="168">
        <f t="shared" si="7"/>
        <v>47490.296013945292</v>
      </c>
      <c r="U25" s="168">
        <f t="shared" si="7"/>
        <v>48134.612555548636</v>
      </c>
      <c r="V25" s="307"/>
      <c r="W25" s="172">
        <f>SUM(B25:U25)</f>
        <v>826528.36501904367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Depreciation!C13</f>
        <v>6995.664483552493</v>
      </c>
      <c r="C27" s="161">
        <f>Depreciation!D13</f>
        <v>6995.664483552493</v>
      </c>
      <c r="D27" s="161">
        <f>Depreciation!E13</f>
        <v>6995.664483552493</v>
      </c>
      <c r="E27" s="161">
        <f>Depreciation!F13</f>
        <v>6995.664483552493</v>
      </c>
      <c r="F27" s="161">
        <f>Depreciation!G13</f>
        <v>6995.664483552493</v>
      </c>
      <c r="G27" s="161">
        <f>Depreciation!H13</f>
        <v>6995.664483552493</v>
      </c>
      <c r="H27" s="161">
        <f>Depreciation!I13</f>
        <v>6995.664483552493</v>
      </c>
      <c r="I27" s="161">
        <f>Depreciation!J13</f>
        <v>6995.664483552493</v>
      </c>
      <c r="J27" s="161">
        <f>Depreciation!K13</f>
        <v>6995.664483552493</v>
      </c>
      <c r="K27" s="161">
        <f>Depreciation!L13</f>
        <v>6995.664483552493</v>
      </c>
      <c r="L27" s="161">
        <f>Depreciation!M13</f>
        <v>6995.664483552493</v>
      </c>
      <c r="M27" s="161">
        <f>Depreciation!N13</f>
        <v>6995.664483552493</v>
      </c>
      <c r="N27" s="161">
        <f>Depreciation!O13</f>
        <v>6995.664483552493</v>
      </c>
      <c r="O27" s="161">
        <f>Depreciation!P13</f>
        <v>6995.664483552493</v>
      </c>
      <c r="P27" s="161">
        <f>Depreciation!Q13</f>
        <v>6995.664483552493</v>
      </c>
      <c r="Q27" s="161">
        <f>Depreciation!R13</f>
        <v>6995.664483552493</v>
      </c>
      <c r="R27" s="161">
        <f>Depreciation!S13</f>
        <v>6995.664483552493</v>
      </c>
      <c r="S27" s="161">
        <f>Depreciation!T13</f>
        <v>6995.664483552493</v>
      </c>
      <c r="T27" s="161">
        <f>Depreciation!U13</f>
        <v>6995.664483552493</v>
      </c>
      <c r="U27" s="161">
        <f>Depreciation!V13</f>
        <v>6995.664483552493</v>
      </c>
      <c r="V27" s="96"/>
      <c r="W27" s="172">
        <f>SUM(B27:U27)</f>
        <v>139913.28967104986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24787.785539326858</v>
      </c>
      <c r="C29" s="344">
        <f t="shared" si="8"/>
        <v>26283.843469412925</v>
      </c>
      <c r="D29" s="344">
        <f t="shared" si="8"/>
        <v>27946.119157677254</v>
      </c>
      <c r="E29" s="344">
        <f t="shared" si="8"/>
        <v>29783.772627817823</v>
      </c>
      <c r="F29" s="344">
        <f t="shared" si="8"/>
        <v>31712.834255040609</v>
      </c>
      <c r="G29" s="344">
        <f t="shared" si="8"/>
        <v>32114.618701484913</v>
      </c>
      <c r="H29" s="344">
        <f t="shared" si="8"/>
        <v>32609.698957025772</v>
      </c>
      <c r="I29" s="344">
        <f t="shared" si="8"/>
        <v>33109.785975753708</v>
      </c>
      <c r="J29" s="344">
        <f t="shared" si="8"/>
        <v>33614.910514281954</v>
      </c>
      <c r="K29" s="344">
        <f t="shared" si="8"/>
        <v>34125.102720177994</v>
      </c>
      <c r="L29" s="344">
        <f t="shared" si="8"/>
        <v>34911.767744827659</v>
      </c>
      <c r="M29" s="344">
        <f t="shared" si="8"/>
        <v>35712.173805611841</v>
      </c>
      <c r="N29" s="344">
        <f t="shared" si="8"/>
        <v>36173.27513229195</v>
      </c>
      <c r="O29" s="344">
        <f t="shared" si="8"/>
        <v>37001.874186736786</v>
      </c>
      <c r="P29" s="344">
        <f t="shared" si="8"/>
        <v>37403.330836689944</v>
      </c>
      <c r="Q29" s="344">
        <f t="shared" si="8"/>
        <v>38605.186804692217</v>
      </c>
      <c r="R29" s="344">
        <f t="shared" si="8"/>
        <v>39227.810107760502</v>
      </c>
      <c r="S29" s="344">
        <f t="shared" si="8"/>
        <v>39857.605208994064</v>
      </c>
      <c r="T29" s="344">
        <f t="shared" si="8"/>
        <v>40494.631530392799</v>
      </c>
      <c r="U29" s="344">
        <f t="shared" si="8"/>
        <v>41138.948071996143</v>
      </c>
      <c r="V29" s="307"/>
      <c r="W29" s="172">
        <f>SUM(B29:U29)</f>
        <v>686615.07534799376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IS!B33*Allocation!$E$6</f>
        <v>11840.840207601574</v>
      </c>
      <c r="C31" s="161">
        <f>IS!C33*Allocation!$E$6</f>
        <v>11632.326800310204</v>
      </c>
      <c r="D31" s="161">
        <f>IS!D33*Allocation!$E$6</f>
        <v>11358.322024814102</v>
      </c>
      <c r="E31" s="161">
        <f>IS!E33*Allocation!$E$6</f>
        <v>11074.956219279318</v>
      </c>
      <c r="F31" s="161">
        <f>IS!F33*Allocation!$E$6</f>
        <v>10681.393627002171</v>
      </c>
      <c r="G31" s="161">
        <f>IS!G33*Allocation!$E$6</f>
        <v>10274.962506245032</v>
      </c>
      <c r="H31" s="161">
        <f>IS!H33*Allocation!$E$6</f>
        <v>9858.0360476861315</v>
      </c>
      <c r="I31" s="161">
        <f>IS!I33*Allocation!$E$6</f>
        <v>9451.792899496173</v>
      </c>
      <c r="J31" s="161">
        <f>IS!J33*Allocation!$E$6</f>
        <v>8973.2565093638423</v>
      </c>
      <c r="K31" s="161">
        <f>IS!K33*Allocation!$E$6</f>
        <v>8494.53624264887</v>
      </c>
      <c r="L31" s="161">
        <f>IS!L33*Allocation!$E$6</f>
        <v>7982.7186547571628</v>
      </c>
      <c r="M31" s="161">
        <f>IS!M33*Allocation!$E$6</f>
        <v>7449.2115407039837</v>
      </c>
      <c r="N31" s="161">
        <f>IS!N33*Allocation!$E$6</f>
        <v>6832.3659081508467</v>
      </c>
      <c r="O31" s="161">
        <f>IS!O33*Allocation!$E$6</f>
        <v>6188.7581599190344</v>
      </c>
      <c r="P31" s="161">
        <f>IS!P33*Allocation!$E$6</f>
        <v>5490.3314545339472</v>
      </c>
      <c r="Q31" s="161">
        <f>IS!Q33*Allocation!$E$6</f>
        <v>4743.6884486318531</v>
      </c>
      <c r="R31" s="161">
        <f>IS!R33*Allocation!$E$6</f>
        <v>3897.3204118366907</v>
      </c>
      <c r="S31" s="161">
        <f>IS!S33*Allocation!$E$6</f>
        <v>2985.6910761595987</v>
      </c>
      <c r="T31" s="161">
        <f>IS!T33*Allocation!$E$6</f>
        <v>1985.1260912221544</v>
      </c>
      <c r="U31" s="161">
        <f>IS!U33*Allocation!$E$6</f>
        <v>887.49671465612028</v>
      </c>
      <c r="V31" s="96"/>
      <c r="W31" s="172">
        <f>SUM(B31:U31)</f>
        <v>152083.13154501881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12946.945331725285</v>
      </c>
      <c r="C33" s="344">
        <f t="shared" si="9"/>
        <v>14651.516669102721</v>
      </c>
      <c r="D33" s="344">
        <f t="shared" si="9"/>
        <v>16587.797132863154</v>
      </c>
      <c r="E33" s="344">
        <f t="shared" si="9"/>
        <v>18708.816408538507</v>
      </c>
      <c r="F33" s="344">
        <f t="shared" si="9"/>
        <v>21031.440628038436</v>
      </c>
      <c r="G33" s="344">
        <f t="shared" si="9"/>
        <v>21839.656195239881</v>
      </c>
      <c r="H33" s="344">
        <f t="shared" si="9"/>
        <v>22751.66290933964</v>
      </c>
      <c r="I33" s="344">
        <f t="shared" si="9"/>
        <v>23657.993076257535</v>
      </c>
      <c r="J33" s="344">
        <f t="shared" si="9"/>
        <v>24641.654004918113</v>
      </c>
      <c r="K33" s="344">
        <f t="shared" si="9"/>
        <v>25630.566477529122</v>
      </c>
      <c r="L33" s="344">
        <f t="shared" si="9"/>
        <v>26929.049090070497</v>
      </c>
      <c r="M33" s="344">
        <f t="shared" si="9"/>
        <v>28262.962264907859</v>
      </c>
      <c r="N33" s="344">
        <f t="shared" si="9"/>
        <v>29340.909224141105</v>
      </c>
      <c r="O33" s="344">
        <f t="shared" si="9"/>
        <v>30813.116026817752</v>
      </c>
      <c r="P33" s="344">
        <f t="shared" si="9"/>
        <v>31912.999382155998</v>
      </c>
      <c r="Q33" s="344">
        <f t="shared" si="9"/>
        <v>33861.498356060365</v>
      </c>
      <c r="R33" s="344">
        <f t="shared" si="9"/>
        <v>35330.48969592381</v>
      </c>
      <c r="S33" s="344">
        <f t="shared" si="9"/>
        <v>36871.914132834463</v>
      </c>
      <c r="T33" s="344">
        <f t="shared" si="9"/>
        <v>38509.505439170644</v>
      </c>
      <c r="U33" s="344">
        <f t="shared" si="9"/>
        <v>40251.451357340025</v>
      </c>
      <c r="V33" s="307"/>
      <c r="W33" s="172">
        <f>SUM(B33:U33)</f>
        <v>534531.94380297489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B33*-Assumptions!$C$38</f>
        <v>-776.81671990351708</v>
      </c>
      <c r="C35" s="161">
        <f>C33*-Assumptions!$C$38</f>
        <v>-879.0910001461632</v>
      </c>
      <c r="D35" s="161">
        <f>D33*-Assumptions!$C$38</f>
        <v>-995.26782797178919</v>
      </c>
      <c r="E35" s="161">
        <f>E33*-Assumptions!$C$38</f>
        <v>-1122.5289845123104</v>
      </c>
      <c r="F35" s="161">
        <f>F33*-Assumptions!$C$38</f>
        <v>-1261.886437682306</v>
      </c>
      <c r="G35" s="161">
        <f>G33*-Assumptions!$C$38</f>
        <v>-1310.3793717143928</v>
      </c>
      <c r="H35" s="161">
        <f>H33*-Assumptions!$C$38</f>
        <v>-1365.0997745603784</v>
      </c>
      <c r="I35" s="161">
        <f>I33*-Assumptions!$C$38</f>
        <v>-1419.479584575452</v>
      </c>
      <c r="J35" s="161">
        <f>J33*-Assumptions!$C$38</f>
        <v>-1478.4992402950868</v>
      </c>
      <c r="K35" s="161">
        <f>K33*-Assumptions!$C$38</f>
        <v>-1537.8339886517474</v>
      </c>
      <c r="L35" s="161">
        <f>L33*-Assumptions!$C$38</f>
        <v>-1615.7429454042297</v>
      </c>
      <c r="M35" s="161">
        <f>M33*-Assumptions!$C$38</f>
        <v>-1695.7777358944716</v>
      </c>
      <c r="N35" s="161">
        <f>N33*-Assumptions!$C$38</f>
        <v>-1760.4545534484662</v>
      </c>
      <c r="O35" s="161">
        <f>O33*-Assumptions!$C$38</f>
        <v>-1848.786961609065</v>
      </c>
      <c r="P35" s="161">
        <f>P33*-Assumptions!$C$38</f>
        <v>-1914.7799629293597</v>
      </c>
      <c r="Q35" s="161">
        <f>Q33*-Assumptions!$C$38</f>
        <v>-2031.6899013636219</v>
      </c>
      <c r="R35" s="161">
        <f>R33*-Assumptions!$C$38</f>
        <v>-2119.8293817554286</v>
      </c>
      <c r="S35" s="161">
        <f>S33*-Assumptions!$C$38</f>
        <v>-2212.3148479700676</v>
      </c>
      <c r="T35" s="161">
        <f>T33*-Assumptions!$C$38</f>
        <v>-2310.5703263502387</v>
      </c>
      <c r="U35" s="161">
        <f>U33*-Assumptions!$C$38</f>
        <v>-2415.0870814404016</v>
      </c>
      <c r="V35" s="96"/>
      <c r="W35" s="172">
        <f>SUM(B35:U35)</f>
        <v>-32071.916628178496</v>
      </c>
    </row>
    <row r="36" spans="1:23" s="307" customFormat="1">
      <c r="A36" s="175" t="s">
        <v>62</v>
      </c>
      <c r="B36" s="347">
        <f>(B33+B35)*-Assumptions!$C$37</f>
        <v>-4259.5450141376177</v>
      </c>
      <c r="C36" s="347">
        <f>(C33+C35)*-Assumptions!$C$37</f>
        <v>-4820.3489841347946</v>
      </c>
      <c r="D36" s="347">
        <f>(D33+D35)*-Assumptions!$C$37</f>
        <v>-5457.3852567119775</v>
      </c>
      <c r="E36" s="347">
        <f>(E33+E35)*-Assumptions!$C$37</f>
        <v>-6155.2005984091684</v>
      </c>
      <c r="F36" s="347">
        <f>(F33+F35)*-Assumptions!$C$37</f>
        <v>-6919.3439666246441</v>
      </c>
      <c r="G36" s="347">
        <f>(G33+G35)*-Assumptions!$C$37</f>
        <v>-7185.2468882339199</v>
      </c>
      <c r="H36" s="347">
        <f>(H33+H35)*-Assumptions!$C$37</f>
        <v>-7485.2970971727409</v>
      </c>
      <c r="I36" s="347">
        <f>(I33+I35)*-Assumptions!$C$37</f>
        <v>-7783.4797220887285</v>
      </c>
      <c r="J36" s="347">
        <f>(J33+J35)*-Assumptions!$C$37</f>
        <v>-8107.1041676180585</v>
      </c>
      <c r="K36" s="347">
        <f>(K33+K35)*-Assumptions!$C$37</f>
        <v>-8432.4563711070805</v>
      </c>
      <c r="L36" s="347">
        <f>(L33+L35)*-Assumptions!$C$37</f>
        <v>-8859.6571506331929</v>
      </c>
      <c r="M36" s="347">
        <f>(M33+M35)*-Assumptions!$C$37</f>
        <v>-9298.514585154684</v>
      </c>
      <c r="N36" s="347">
        <f>(N33+N35)*-Assumptions!$C$37</f>
        <v>-9653.1591347424219</v>
      </c>
      <c r="O36" s="347">
        <f>(O33+O35)*-Assumptions!$C$37</f>
        <v>-10137.515172823039</v>
      </c>
      <c r="P36" s="347">
        <f>(P33+P35)*-Assumptions!$C$37</f>
        <v>-10499.376796729322</v>
      </c>
      <c r="Q36" s="347">
        <f>(Q33+Q35)*-Assumptions!$C$37</f>
        <v>-11140.43295914386</v>
      </c>
      <c r="R36" s="347">
        <f>(R33+R35)*-Assumptions!$C$37</f>
        <v>-11623.731109958933</v>
      </c>
      <c r="S36" s="347">
        <f>(S33+S35)*-Assumptions!$C$37</f>
        <v>-12130.859749702537</v>
      </c>
      <c r="T36" s="347">
        <f>(T33+T35)*-Assumptions!$C$37</f>
        <v>-12669.627289487142</v>
      </c>
      <c r="U36" s="347">
        <f>(U33+U35)*-Assumptions!$C$37</f>
        <v>-13242.727496564867</v>
      </c>
      <c r="V36" s="96"/>
      <c r="W36" s="172">
        <f>SUM(B36:U36)</f>
        <v>-175861.00951117874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7910.583597684149</v>
      </c>
      <c r="C38" s="348">
        <f t="shared" si="10"/>
        <v>8952.0766848217627</v>
      </c>
      <c r="D38" s="348">
        <f t="shared" si="10"/>
        <v>10135.144048179387</v>
      </c>
      <c r="E38" s="348">
        <f t="shared" si="10"/>
        <v>11431.086825617027</v>
      </c>
      <c r="F38" s="348">
        <f t="shared" si="10"/>
        <v>12850.210223731483</v>
      </c>
      <c r="G38" s="348">
        <f t="shared" si="10"/>
        <v>13344.029935291568</v>
      </c>
      <c r="H38" s="348">
        <f t="shared" si="10"/>
        <v>13901.266037606521</v>
      </c>
      <c r="I38" s="348">
        <f t="shared" si="10"/>
        <v>14455.033769593354</v>
      </c>
      <c r="J38" s="348">
        <f t="shared" si="10"/>
        <v>15056.050597004967</v>
      </c>
      <c r="K38" s="348">
        <f t="shared" si="10"/>
        <v>15660.276117770296</v>
      </c>
      <c r="L38" s="348">
        <f t="shared" si="10"/>
        <v>16453.648994033076</v>
      </c>
      <c r="M38" s="348">
        <f t="shared" si="10"/>
        <v>17268.669943858702</v>
      </c>
      <c r="N38" s="348">
        <f t="shared" si="10"/>
        <v>17927.295535950216</v>
      </c>
      <c r="O38" s="348">
        <f t="shared" si="10"/>
        <v>18826.813892385646</v>
      </c>
      <c r="P38" s="348">
        <f t="shared" si="10"/>
        <v>19498.842622497315</v>
      </c>
      <c r="Q38" s="348">
        <f t="shared" si="10"/>
        <v>20689.375495552886</v>
      </c>
      <c r="R38" s="348">
        <f t="shared" si="10"/>
        <v>21586.929204209446</v>
      </c>
      <c r="S38" s="348">
        <f t="shared" si="10"/>
        <v>22528.739535161858</v>
      </c>
      <c r="T38" s="348">
        <f t="shared" si="10"/>
        <v>23529.307823333264</v>
      </c>
      <c r="U38" s="348">
        <f t="shared" si="10"/>
        <v>24593.636779334753</v>
      </c>
      <c r="V38" s="349"/>
      <c r="W38" s="172">
        <f>SUM(B38:U38)</f>
        <v>326599.01766361762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8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186</v>
      </c>
      <c r="B42" s="204"/>
      <c r="C42" s="208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8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8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8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1">B46+1</f>
        <v>2002</v>
      </c>
      <c r="D46" s="163">
        <f t="shared" si="11"/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W46" s="303" t="s">
        <v>146</v>
      </c>
    </row>
    <row r="47" spans="1:23">
      <c r="A47" s="262"/>
      <c r="B47" s="204"/>
      <c r="C47" s="208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178"/>
    </row>
    <row r="48" spans="1:23">
      <c r="A48" s="266" t="s">
        <v>56</v>
      </c>
      <c r="B48" s="268">
        <f>B25</f>
        <v>31783.450022879351</v>
      </c>
      <c r="C48" s="268">
        <f>C25</f>
        <v>33279.507952965418</v>
      </c>
      <c r="D48" s="268">
        <f>D25</f>
        <v>34941.783641229747</v>
      </c>
      <c r="E48" s="204">
        <f t="shared" ref="E48:U48" si="12">E25</f>
        <v>36779.437111370316</v>
      </c>
      <c r="F48" s="204">
        <f t="shared" si="12"/>
        <v>38708.498738593102</v>
      </c>
      <c r="G48" s="204">
        <f t="shared" si="12"/>
        <v>39110.283185037406</v>
      </c>
      <c r="H48" s="204">
        <f t="shared" si="12"/>
        <v>39605.363440578265</v>
      </c>
      <c r="I48" s="204">
        <f t="shared" si="12"/>
        <v>40105.450459306201</v>
      </c>
      <c r="J48" s="204">
        <f t="shared" si="12"/>
        <v>40610.574997834447</v>
      </c>
      <c r="K48" s="204">
        <f t="shared" si="12"/>
        <v>41120.767203730487</v>
      </c>
      <c r="L48" s="204">
        <f t="shared" si="12"/>
        <v>41907.432228380152</v>
      </c>
      <c r="M48" s="204">
        <f t="shared" si="12"/>
        <v>42707.838289164334</v>
      </c>
      <c r="N48" s="204">
        <f t="shared" si="12"/>
        <v>43168.939615844443</v>
      </c>
      <c r="O48" s="204">
        <f t="shared" si="12"/>
        <v>43997.538670289279</v>
      </c>
      <c r="P48" s="204">
        <f t="shared" si="12"/>
        <v>44398.995320242437</v>
      </c>
      <c r="Q48" s="204">
        <f t="shared" si="12"/>
        <v>45600.85128824471</v>
      </c>
      <c r="R48" s="204">
        <f t="shared" si="12"/>
        <v>46223.474591312995</v>
      </c>
      <c r="S48" s="204">
        <f t="shared" si="12"/>
        <v>46853.269692546557</v>
      </c>
      <c r="T48" s="204">
        <f t="shared" si="12"/>
        <v>47490.296013945292</v>
      </c>
      <c r="U48" s="204">
        <f t="shared" si="12"/>
        <v>48134.612555548636</v>
      </c>
      <c r="W48" s="177">
        <f>SUM(B48:U48)</f>
        <v>826528.36501904367</v>
      </c>
    </row>
    <row r="49" spans="1:45">
      <c r="A49" s="266" t="s">
        <v>153</v>
      </c>
      <c r="B49" s="268">
        <f>B20</f>
        <v>174.46</v>
      </c>
      <c r="C49" s="268">
        <f t="shared" ref="C49:U49" si="13">C20</f>
        <v>348.92</v>
      </c>
      <c r="D49" s="268">
        <f t="shared" si="13"/>
        <v>436.15</v>
      </c>
      <c r="E49" s="268">
        <f t="shared" si="13"/>
        <v>436.15</v>
      </c>
      <c r="F49" s="268">
        <f t="shared" si="13"/>
        <v>436.15</v>
      </c>
      <c r="G49" s="268">
        <f t="shared" si="13"/>
        <v>523.38</v>
      </c>
      <c r="H49" s="268">
        <f t="shared" si="13"/>
        <v>523.38</v>
      </c>
      <c r="I49" s="268">
        <f t="shared" si="13"/>
        <v>523.38</v>
      </c>
      <c r="J49" s="268">
        <f t="shared" si="13"/>
        <v>523.38</v>
      </c>
      <c r="K49" s="268">
        <f t="shared" si="13"/>
        <v>523.38</v>
      </c>
      <c r="L49" s="268">
        <f t="shared" si="13"/>
        <v>523.38</v>
      </c>
      <c r="M49" s="268">
        <f t="shared" si="13"/>
        <v>523.38</v>
      </c>
      <c r="N49" s="268">
        <f t="shared" si="13"/>
        <v>872.3</v>
      </c>
      <c r="O49" s="268">
        <f t="shared" si="13"/>
        <v>872.3</v>
      </c>
      <c r="P49" s="268">
        <f t="shared" si="13"/>
        <v>1308.45</v>
      </c>
      <c r="Q49" s="268">
        <f t="shared" si="13"/>
        <v>743.93104499999993</v>
      </c>
      <c r="R49" s="268">
        <f t="shared" si="13"/>
        <v>758.80966589999991</v>
      </c>
      <c r="S49" s="268">
        <f t="shared" si="13"/>
        <v>773.98585921799997</v>
      </c>
      <c r="T49" s="268">
        <f t="shared" si="13"/>
        <v>789.46557640235994</v>
      </c>
      <c r="U49" s="268">
        <f t="shared" si="13"/>
        <v>805.25488793040722</v>
      </c>
      <c r="W49" s="177">
        <f>SUM(B49:U49)</f>
        <v>12419.987034450767</v>
      </c>
    </row>
    <row r="50" spans="1:45">
      <c r="A50" s="266" t="s">
        <v>154</v>
      </c>
      <c r="B50" s="353">
        <v>-92.2251014</v>
      </c>
      <c r="C50" s="268">
        <f>-B49</f>
        <v>-174.46</v>
      </c>
      <c r="D50" s="268">
        <f t="shared" ref="D50:U50" si="14">-C49</f>
        <v>-348.92</v>
      </c>
      <c r="E50" s="268">
        <f t="shared" si="14"/>
        <v>-436.15</v>
      </c>
      <c r="F50" s="268">
        <f t="shared" si="14"/>
        <v>-436.15</v>
      </c>
      <c r="G50" s="268">
        <f t="shared" si="14"/>
        <v>-436.15</v>
      </c>
      <c r="H50" s="268">
        <f t="shared" si="14"/>
        <v>-523.38</v>
      </c>
      <c r="I50" s="268">
        <f t="shared" si="14"/>
        <v>-523.38</v>
      </c>
      <c r="J50" s="268">
        <f t="shared" si="14"/>
        <v>-523.38</v>
      </c>
      <c r="K50" s="268">
        <f t="shared" si="14"/>
        <v>-523.38</v>
      </c>
      <c r="L50" s="268">
        <f t="shared" si="14"/>
        <v>-523.38</v>
      </c>
      <c r="M50" s="268">
        <f t="shared" si="14"/>
        <v>-523.38</v>
      </c>
      <c r="N50" s="268">
        <f t="shared" si="14"/>
        <v>-523.38</v>
      </c>
      <c r="O50" s="268">
        <f t="shared" si="14"/>
        <v>-872.3</v>
      </c>
      <c r="P50" s="268">
        <f t="shared" si="14"/>
        <v>-872.3</v>
      </c>
      <c r="Q50" s="268">
        <f t="shared" si="14"/>
        <v>-1308.45</v>
      </c>
      <c r="R50" s="268">
        <f t="shared" si="14"/>
        <v>-743.93104499999993</v>
      </c>
      <c r="S50" s="268">
        <f t="shared" si="14"/>
        <v>-758.80966589999991</v>
      </c>
      <c r="T50" s="268">
        <f t="shared" si="14"/>
        <v>-773.98585921799997</v>
      </c>
      <c r="U50" s="268">
        <f t="shared" si="14"/>
        <v>-789.46557640235994</v>
      </c>
      <c r="W50" s="177">
        <f>SUM(B50:U50)</f>
        <v>-11706.957247920362</v>
      </c>
    </row>
    <row r="51" spans="1:45">
      <c r="A51" s="266" t="s">
        <v>64</v>
      </c>
      <c r="B51" s="354">
        <f>-Debt!B77*Allocation!$E$6</f>
        <v>-13963.428461113004</v>
      </c>
      <c r="C51" s="354">
        <f>-Debt!C77*Allocation!$E$6</f>
        <v>-14039.314133540483</v>
      </c>
      <c r="D51" s="354">
        <f>-Debt!D77*Allocation!$E$6</f>
        <v>-14105.200941123008</v>
      </c>
      <c r="E51" s="354">
        <f>-Debt!E77*Allocation!$E$6</f>
        <v>-14251.90203662649</v>
      </c>
      <c r="F51" s="354">
        <f>-Debt!F77*Allocation!$E$6</f>
        <v>-14357.771974587327</v>
      </c>
      <c r="G51" s="354">
        <f>-Debt!G77*Allocation!$E$6</f>
        <v>-14034.579608869852</v>
      </c>
      <c r="H51" s="354">
        <f>-Debt!H77*Allocation!$E$6</f>
        <v>-13749.447845790417</v>
      </c>
      <c r="I51" s="354">
        <f>-Debt!I77*Allocation!$E$6</f>
        <v>-13509.682207679789</v>
      </c>
      <c r="J51" s="354">
        <f>-Debt!J77*Allocation!$E$6</f>
        <v>-13260.052393906535</v>
      </c>
      <c r="K51" s="354">
        <f>-Debt!K77*Allocation!$E$6</f>
        <v>-13051.858081070468</v>
      </c>
      <c r="L51" s="354">
        <f>-Debt!L77*Allocation!$E$6</f>
        <v>-12843.452269823694</v>
      </c>
      <c r="M51" s="354">
        <f>-Debt!M77*Allocation!$E$6</f>
        <v>-12672.686470327719</v>
      </c>
      <c r="N51" s="354">
        <f>-Debt!N77*Allocation!$E$6</f>
        <v>-12462.111110078649</v>
      </c>
      <c r="O51" s="354">
        <f>-Debt!O77*Allocation!$E$6</f>
        <v>-12297.321897062347</v>
      </c>
      <c r="P51" s="354">
        <f>-Debt!P77*Allocation!$E$6</f>
        <v>-12121.242684639634</v>
      </c>
      <c r="Q51" s="354">
        <f>-Debt!Q77*Allocation!$E$6</f>
        <v>-12013.02439235822</v>
      </c>
      <c r="R51" s="354">
        <f>-Debt!R77*Allocation!$E$6</f>
        <v>-11848.610026930601</v>
      </c>
      <c r="S51" s="354">
        <f>-Debt!S77*Allocation!$E$6</f>
        <v>-11705.992278114782</v>
      </c>
      <c r="T51" s="354">
        <f>-Debt!T77*Allocation!$E$6</f>
        <v>-11576.006448114626</v>
      </c>
      <c r="U51" s="354">
        <f>-Debt!U77*Allocation!$E$6</f>
        <v>-11450.523794561899</v>
      </c>
      <c r="W51" s="177">
        <f>SUM(B51:U51)</f>
        <v>-259314.20905631952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17902.256460366349</v>
      </c>
      <c r="C53" s="355">
        <f t="shared" si="15"/>
        <v>19414.653819424933</v>
      </c>
      <c r="D53" s="355">
        <f t="shared" si="15"/>
        <v>20923.812700106741</v>
      </c>
      <c r="E53" s="355">
        <f t="shared" si="15"/>
        <v>22527.535074743828</v>
      </c>
      <c r="F53" s="355">
        <f t="shared" si="15"/>
        <v>24350.726764005776</v>
      </c>
      <c r="G53" s="355">
        <f t="shared" si="15"/>
        <v>25162.93357616755</v>
      </c>
      <c r="H53" s="355">
        <f t="shared" si="15"/>
        <v>25855.915594787846</v>
      </c>
      <c r="I53" s="355">
        <f t="shared" si="15"/>
        <v>26595.76825162641</v>
      </c>
      <c r="J53" s="355">
        <f t="shared" si="15"/>
        <v>27350.522603927911</v>
      </c>
      <c r="K53" s="355">
        <f t="shared" si="15"/>
        <v>28068.909122660021</v>
      </c>
      <c r="L53" s="355">
        <f t="shared" si="15"/>
        <v>29063.979958556458</v>
      </c>
      <c r="M53" s="355">
        <f t="shared" si="15"/>
        <v>30035.151818836617</v>
      </c>
      <c r="N53" s="355">
        <f t="shared" si="15"/>
        <v>31055.748505765798</v>
      </c>
      <c r="O53" s="355">
        <f t="shared" si="15"/>
        <v>31700.21677322693</v>
      </c>
      <c r="P53" s="355">
        <f t="shared" si="15"/>
        <v>32713.902635602797</v>
      </c>
      <c r="Q53" s="355">
        <f t="shared" si="15"/>
        <v>33023.307940886487</v>
      </c>
      <c r="R53" s="355">
        <f t="shared" si="15"/>
        <v>34389.743185282394</v>
      </c>
      <c r="S53" s="355">
        <f t="shared" si="15"/>
        <v>35162.453607749776</v>
      </c>
      <c r="T53" s="355">
        <f t="shared" si="15"/>
        <v>35929.769283015026</v>
      </c>
      <c r="U53" s="355">
        <f t="shared" si="15"/>
        <v>36699.878072514781</v>
      </c>
      <c r="V53" s="307"/>
      <c r="W53" s="177">
        <f>SUM(B53:U53)</f>
        <v>567927.18574925442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2">
        <f>-B97</f>
        <v>-496.99014056141732</v>
      </c>
      <c r="C55" s="392">
        <f t="shared" ref="C55:U55" si="16">-C97</f>
        <v>0</v>
      </c>
      <c r="D55" s="392">
        <f t="shared" si="16"/>
        <v>-188.40368758180171</v>
      </c>
      <c r="E55" s="392">
        <f t="shared" si="16"/>
        <v>-464.93652305837611</v>
      </c>
      <c r="F55" s="392">
        <f t="shared" si="16"/>
        <v>-712.02720927508017</v>
      </c>
      <c r="G55" s="392">
        <f t="shared" si="16"/>
        <v>-858.45944607690183</v>
      </c>
      <c r="H55" s="392">
        <f t="shared" si="16"/>
        <v>-959.35123451433401</v>
      </c>
      <c r="I55" s="392">
        <f t="shared" si="16"/>
        <v>-1012.331911632697</v>
      </c>
      <c r="J55" s="392">
        <f t="shared" si="16"/>
        <v>-1072.7507002490422</v>
      </c>
      <c r="K55" s="392">
        <f t="shared" si="16"/>
        <v>-1130.6863157089922</v>
      </c>
      <c r="L55" s="392">
        <f t="shared" si="16"/>
        <v>-1209.9944053581853</v>
      </c>
      <c r="M55" s="392">
        <f t="shared" si="16"/>
        <v>-1288.6300629517166</v>
      </c>
      <c r="N55" s="392">
        <f t="shared" si="16"/>
        <v>-1354.7060134024218</v>
      </c>
      <c r="O55" s="392">
        <f t="shared" si="16"/>
        <v>-1441.6392886663098</v>
      </c>
      <c r="P55" s="392">
        <f t="shared" si="16"/>
        <v>-1509.0314228833154</v>
      </c>
      <c r="Q55" s="392">
        <f t="shared" si="16"/>
        <v>-2038.6855658471743</v>
      </c>
      <c r="R55" s="392">
        <f t="shared" si="16"/>
        <v>-2539.5692507685781</v>
      </c>
      <c r="S55" s="392">
        <f t="shared" si="16"/>
        <v>-2632.0547169832171</v>
      </c>
      <c r="T55" s="392">
        <f t="shared" si="16"/>
        <v>-2730.3101953633882</v>
      </c>
      <c r="U55" s="392">
        <f t="shared" si="16"/>
        <v>-2834.826950453551</v>
      </c>
      <c r="W55" s="177">
        <f>SUM(B55:U55)</f>
        <v>-26475.3850413365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-Allocation!$E$6*Tax!B24</f>
        <v>-2436.840342918947</v>
      </c>
      <c r="C56" s="356">
        <f>-Allocation!$E$6*Tax!C24</f>
        <v>0</v>
      </c>
      <c r="D56" s="356">
        <f>-Allocation!$E$6*Tax!D24</f>
        <v>-196.19157776334575</v>
      </c>
      <c r="E56" s="356">
        <f>-Allocation!$E$6*Tax!E24</f>
        <v>-2197.954554861069</v>
      </c>
      <c r="F56" s="356">
        <f>-Allocation!$E$6*Tax!F24</f>
        <v>-3506.6547954450048</v>
      </c>
      <c r="G56" s="356">
        <f>-Allocation!$E$6*Tax!G24</f>
        <v>-4394.7832549227242</v>
      </c>
      <c r="H56" s="356">
        <f>-Allocation!$E$6*Tax!H24</f>
        <v>-5000.3245084800501</v>
      </c>
      <c r="I56" s="356">
        <f>-Allocation!$E$6*Tax!I24</f>
        <v>-5341.2416910827833</v>
      </c>
      <c r="J56" s="356">
        <f>-Allocation!$E$6*Tax!J24</f>
        <v>-5735.5989944138137</v>
      </c>
      <c r="K56" s="356">
        <f>-Allocation!$E$6*Tax!K24</f>
        <v>-6125.9074175049718</v>
      </c>
      <c r="L56" s="356">
        <f>-Allocation!$E$6*Tax!L24</f>
        <v>-6516.0666021587103</v>
      </c>
      <c r="M56" s="356">
        <f>-Allocation!$E$6*Tax!M24</f>
        <v>-6916.6832910630164</v>
      </c>
      <c r="N56" s="356">
        <f>-Allocation!$E$6*Tax!N24</f>
        <v>-7328.519948561061</v>
      </c>
      <c r="O56" s="356">
        <f>-Allocation!$E$6*Tax!O24</f>
        <v>-7772.7353012145068</v>
      </c>
      <c r="P56" s="356">
        <f>-Allocation!$E$6*Tax!P24</f>
        <v>-8210.0942666688152</v>
      </c>
      <c r="Q56" s="356">
        <f>-Allocation!$E$6*Tax!Q24</f>
        <v>-11074.392700636407</v>
      </c>
      <c r="R56" s="356">
        <f>-Allocation!$E$6*Tax!R24</f>
        <v>-13914.572305628164</v>
      </c>
      <c r="S56" s="356">
        <f>-Allocation!$E$6*Tax!S24</f>
        <v>-14426.87086394934</v>
      </c>
      <c r="T56" s="356">
        <f>-Allocation!$E$6*Tax!T24</f>
        <v>-14970.838485853987</v>
      </c>
      <c r="U56" s="356">
        <f>-Allocation!$E$6*Tax!U24</f>
        <v>-15549.146973028699</v>
      </c>
      <c r="W56" s="177">
        <f>SUM(B56:U56)</f>
        <v>-141615.41787615544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4" t="s">
        <v>66</v>
      </c>
      <c r="B58" s="358">
        <f t="shared" ref="B58:U58" si="17">B53+B56+B55</f>
        <v>14968.425976885985</v>
      </c>
      <c r="C58" s="358">
        <f t="shared" si="17"/>
        <v>19414.653819424933</v>
      </c>
      <c r="D58" s="358">
        <f t="shared" si="17"/>
        <v>20539.217434761595</v>
      </c>
      <c r="E58" s="358">
        <f t="shared" si="17"/>
        <v>19864.643996824383</v>
      </c>
      <c r="F58" s="358">
        <f t="shared" si="17"/>
        <v>20132.044759285694</v>
      </c>
      <c r="G58" s="358">
        <f t="shared" si="17"/>
        <v>19909.690875167926</v>
      </c>
      <c r="H58" s="358">
        <f t="shared" si="17"/>
        <v>19896.23985179346</v>
      </c>
      <c r="I58" s="358">
        <f t="shared" si="17"/>
        <v>20242.194648910932</v>
      </c>
      <c r="J58" s="358">
        <f t="shared" si="17"/>
        <v>20542.172909265057</v>
      </c>
      <c r="K58" s="358">
        <f t="shared" si="17"/>
        <v>20812.315389446056</v>
      </c>
      <c r="L58" s="358">
        <f t="shared" si="17"/>
        <v>21337.918951039563</v>
      </c>
      <c r="M58" s="358">
        <f t="shared" si="17"/>
        <v>21829.838464821882</v>
      </c>
      <c r="N58" s="358">
        <f t="shared" si="17"/>
        <v>22372.522543802315</v>
      </c>
      <c r="O58" s="358">
        <f t="shared" si="17"/>
        <v>22485.842183346114</v>
      </c>
      <c r="P58" s="358">
        <f t="shared" si="17"/>
        <v>22994.776946050668</v>
      </c>
      <c r="Q58" s="358">
        <f t="shared" si="17"/>
        <v>19910.229674402904</v>
      </c>
      <c r="R58" s="358">
        <f t="shared" si="17"/>
        <v>17935.601628885652</v>
      </c>
      <c r="S58" s="358">
        <f t="shared" si="17"/>
        <v>18103.528026817217</v>
      </c>
      <c r="T58" s="358">
        <f t="shared" si="17"/>
        <v>18228.620601797651</v>
      </c>
      <c r="U58" s="358">
        <f t="shared" si="17"/>
        <v>18315.904149032533</v>
      </c>
      <c r="V58" s="349"/>
      <c r="W58" s="177">
        <f>SUM(B58:U58)</f>
        <v>399836.38283176254</v>
      </c>
    </row>
    <row r="59" spans="1:45" s="307" customFormat="1">
      <c r="A59" s="359"/>
      <c r="B59" s="204"/>
      <c r="C59" s="208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59"/>
      <c r="B60" s="204"/>
      <c r="C60" s="208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</row>
    <row r="61" spans="1:45">
      <c r="A61" s="375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23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23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23">
      <c r="A67" s="256"/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23">
      <c r="A68" s="315" t="s">
        <v>165</v>
      </c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23">
      <c r="A69" s="256"/>
      <c r="B69" s="31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</row>
    <row r="70" spans="1:23">
      <c r="A70" s="307" t="s">
        <v>172</v>
      </c>
      <c r="B70" s="360">
        <f>Depreciation!C14</f>
        <v>226193.15163486393</v>
      </c>
      <c r="C70" s="360">
        <f>Depreciation!D14</f>
        <v>219197.48715131142</v>
      </c>
      <c r="D70" s="360">
        <f>Depreciation!E14</f>
        <v>212201.82266775891</v>
      </c>
      <c r="E70" s="360">
        <f>Depreciation!F14</f>
        <v>205206.1581842064</v>
      </c>
      <c r="F70" s="360">
        <f>Depreciation!G14</f>
        <v>198210.4937006539</v>
      </c>
      <c r="G70" s="360">
        <f>Depreciation!H14</f>
        <v>191214.82921710139</v>
      </c>
      <c r="H70" s="360">
        <f>Depreciation!I14</f>
        <v>184219.16473354888</v>
      </c>
      <c r="I70" s="360">
        <f>Depreciation!J14</f>
        <v>177223.50024999637</v>
      </c>
      <c r="J70" s="360">
        <f>Depreciation!K14</f>
        <v>170227.83576644387</v>
      </c>
      <c r="K70" s="360">
        <f>Depreciation!L14</f>
        <v>163232.17128289136</v>
      </c>
      <c r="L70" s="360">
        <f>Depreciation!M14</f>
        <v>156236.50679933885</v>
      </c>
      <c r="M70" s="360">
        <f>Depreciation!N14</f>
        <v>149240.84231578634</v>
      </c>
      <c r="N70" s="360">
        <f>Depreciation!O14</f>
        <v>142245.17783223384</v>
      </c>
      <c r="O70" s="360">
        <f>Depreciation!P14</f>
        <v>135249.51334868133</v>
      </c>
      <c r="P70" s="360">
        <f>Depreciation!Q14</f>
        <v>128253.84886512884</v>
      </c>
      <c r="Q70" s="360">
        <f>Depreciation!R14</f>
        <v>121258.18438157634</v>
      </c>
      <c r="R70" s="360">
        <f>Depreciation!S14</f>
        <v>114262.51989802385</v>
      </c>
      <c r="S70" s="360">
        <f>Depreciation!T14</f>
        <v>107266.85541447136</v>
      </c>
      <c r="T70" s="360">
        <f>Depreciation!U14</f>
        <v>100271.19093091886</v>
      </c>
      <c r="U70" s="360">
        <f>Depreciation!V14</f>
        <v>93275.52644736637</v>
      </c>
      <c r="W70" s="361">
        <f t="shared" ref="W70:W78" si="18">SUM(B70:U70)</f>
        <v>3194686.7808223027</v>
      </c>
    </row>
    <row r="71" spans="1:23">
      <c r="A71" s="96" t="s">
        <v>163</v>
      </c>
      <c r="B71" s="360">
        <f>Allocation!$C$6*'Summary Output'!$C$7</f>
        <v>130116.24228426076</v>
      </c>
      <c r="C71" s="360">
        <f>Allocation!$C$6*'Summary Output'!$C$7</f>
        <v>130116.24228426076</v>
      </c>
      <c r="D71" s="360">
        <f>Allocation!$C$6*'Summary Output'!$C$7</f>
        <v>130116.24228426076</v>
      </c>
      <c r="E71" s="360">
        <f>Allocation!$C$6*'Summary Output'!$C$7</f>
        <v>130116.24228426076</v>
      </c>
      <c r="F71" s="360">
        <f>Allocation!$C$6*'Summary Output'!$C$7</f>
        <v>130116.24228426076</v>
      </c>
      <c r="G71" s="360">
        <f>Allocation!$C$6*'Summary Output'!$C$7</f>
        <v>130116.24228426076</v>
      </c>
      <c r="H71" s="360">
        <f>Allocation!$C$6*'Summary Output'!$C$7</f>
        <v>130116.24228426076</v>
      </c>
      <c r="I71" s="360">
        <f>Allocation!$C$6*'Summary Output'!$C$7</f>
        <v>130116.24228426076</v>
      </c>
      <c r="J71" s="360">
        <f>Allocation!$C$6*'Summary Output'!$C$7</f>
        <v>130116.24228426076</v>
      </c>
      <c r="K71" s="360">
        <f>Allocation!$C$6*'Summary Output'!$C$7</f>
        <v>130116.24228426076</v>
      </c>
      <c r="L71" s="360">
        <f>Allocation!$C$6*'Summary Output'!$C$7</f>
        <v>130116.24228426076</v>
      </c>
      <c r="M71" s="360">
        <f>Allocation!$C$6*'Summary Output'!$C$7</f>
        <v>130116.24228426076</v>
      </c>
      <c r="N71" s="360">
        <f>Allocation!$C$6*'Summary Output'!$C$7</f>
        <v>130116.24228426076</v>
      </c>
      <c r="O71" s="360">
        <f>Allocation!$C$6*'Summary Output'!$C$7</f>
        <v>130116.24228426076</v>
      </c>
      <c r="P71" s="360">
        <f>Allocation!$C$6*'Summary Output'!$C$7</f>
        <v>130116.24228426076</v>
      </c>
      <c r="Q71" s="360">
        <f>Allocation!$C$6*'Summary Output'!$C$7</f>
        <v>130116.24228426076</v>
      </c>
      <c r="R71" s="360">
        <f>Allocation!$C$6*'Summary Output'!$C$7</f>
        <v>130116.24228426076</v>
      </c>
      <c r="S71" s="360">
        <f>Allocation!$C$6*'Summary Output'!$C$7</f>
        <v>130116.24228426076</v>
      </c>
      <c r="T71" s="360">
        <f>Allocation!$C$6*'Summary Output'!$C$7</f>
        <v>130116.24228426076</v>
      </c>
      <c r="U71" s="360">
        <f>Allocation!$C$6*'Summary Output'!$C$7</f>
        <v>130116.24228426076</v>
      </c>
      <c r="W71" s="361">
        <f t="shared" si="18"/>
        <v>2602324.8456852147</v>
      </c>
    </row>
    <row r="72" spans="1:23">
      <c r="A72" s="362" t="s">
        <v>234</v>
      </c>
      <c r="B72" s="363">
        <f>B38-B58</f>
        <v>-7057.8423792018357</v>
      </c>
      <c r="C72" s="363">
        <f t="shared" ref="C72:U72" si="19">C38-C58+B72</f>
        <v>-17520.419513805005</v>
      </c>
      <c r="D72" s="363">
        <f t="shared" si="19"/>
        <v>-27924.492900387213</v>
      </c>
      <c r="E72" s="363">
        <f t="shared" si="19"/>
        <v>-36358.050071594567</v>
      </c>
      <c r="F72" s="363">
        <f t="shared" si="19"/>
        <v>-43639.884607148779</v>
      </c>
      <c r="G72" s="363">
        <f t="shared" si="19"/>
        <v>-50205.545547025133</v>
      </c>
      <c r="H72" s="363">
        <f t="shared" si="19"/>
        <v>-56200.519361212071</v>
      </c>
      <c r="I72" s="363">
        <f t="shared" si="19"/>
        <v>-61987.680240529648</v>
      </c>
      <c r="J72" s="363">
        <f t="shared" si="19"/>
        <v>-67473.802552789741</v>
      </c>
      <c r="K72" s="363">
        <f t="shared" si="19"/>
        <v>-72625.841824465504</v>
      </c>
      <c r="L72" s="363">
        <f t="shared" si="19"/>
        <v>-77510.111781471991</v>
      </c>
      <c r="M72" s="363">
        <f t="shared" si="19"/>
        <v>-82071.280302435174</v>
      </c>
      <c r="N72" s="363">
        <f t="shared" si="19"/>
        <v>-86516.50731028727</v>
      </c>
      <c r="O72" s="363">
        <f t="shared" si="19"/>
        <v>-90175.535601247742</v>
      </c>
      <c r="P72" s="363">
        <f t="shared" si="19"/>
        <v>-93671.469924801087</v>
      </c>
      <c r="Q72" s="363">
        <f t="shared" si="19"/>
        <v>-92892.324103651103</v>
      </c>
      <c r="R72" s="363">
        <f t="shared" si="19"/>
        <v>-89240.996528327305</v>
      </c>
      <c r="S72" s="363">
        <f t="shared" si="19"/>
        <v>-84815.785019982664</v>
      </c>
      <c r="T72" s="363">
        <f t="shared" si="19"/>
        <v>-79515.097798447052</v>
      </c>
      <c r="U72" s="363">
        <f t="shared" si="19"/>
        <v>-73237.365168144839</v>
      </c>
      <c r="W72" s="361">
        <f t="shared" si="18"/>
        <v>-1290640.5525369558</v>
      </c>
    </row>
    <row r="73" spans="1:23">
      <c r="A73" s="362" t="s">
        <v>169</v>
      </c>
      <c r="B73" s="364">
        <f>Debt!B73*Allocation!$E$6</f>
        <v>105108.48925778932</v>
      </c>
      <c r="C73" s="364">
        <f>Debt!C73*Allocation!$E$6</f>
        <v>102701.50192455904</v>
      </c>
      <c r="D73" s="364">
        <f>Debt!D73*Allocation!$E$6</f>
        <v>99954.623008250128</v>
      </c>
      <c r="E73" s="364">
        <f>Debt!E73*Allocation!$E$6</f>
        <v>96777.677190902963</v>
      </c>
      <c r="F73" s="364">
        <f>Debt!F73*Allocation!$E$6</f>
        <v>93101.298843317811</v>
      </c>
      <c r="G73" s="364">
        <f>Debt!G73*Allocation!$E$6</f>
        <v>89341.681740692977</v>
      </c>
      <c r="H73" s="364">
        <f>Debt!H73*Allocation!$E$6</f>
        <v>85450.269942588697</v>
      </c>
      <c r="I73" s="364">
        <f>Debt!I73*Allocation!$E$6</f>
        <v>81392.380634405083</v>
      </c>
      <c r="J73" s="364">
        <f>Debt!J73*Allocation!$E$6</f>
        <v>77105.584749862392</v>
      </c>
      <c r="K73" s="364">
        <f>Debt!K73*Allocation!$E$6</f>
        <v>72548.26291144079</v>
      </c>
      <c r="L73" s="364">
        <f>Debt!L73*Allocation!$E$6</f>
        <v>67687.529296374254</v>
      </c>
      <c r="M73" s="364">
        <f>Debt!M73*Allocation!$E$6</f>
        <v>62464.054366750512</v>
      </c>
      <c r="N73" s="364">
        <f>Debt!N73*Allocation!$E$6</f>
        <v>56834.309164822713</v>
      </c>
      <c r="O73" s="364">
        <f>Debt!O73*Allocation!$E$6</f>
        <v>50725.745427679387</v>
      </c>
      <c r="P73" s="364">
        <f>Debt!P73*Allocation!$E$6</f>
        <v>44094.834197573698</v>
      </c>
      <c r="Q73" s="364">
        <f>Debt!Q73*Allocation!$E$6</f>
        <v>36825.498253847327</v>
      </c>
      <c r="R73" s="364">
        <f>Debt!R73*Allocation!$E$6</f>
        <v>28874.208638753418</v>
      </c>
      <c r="S73" s="364">
        <f>Debt!S73*Allocation!$E$6</f>
        <v>20153.907436798239</v>
      </c>
      <c r="T73" s="364">
        <f>Debt!T73*Allocation!$E$6</f>
        <v>10563.027079905763</v>
      </c>
      <c r="U73" s="364">
        <f>Debt!U73*Allocation!$E$6</f>
        <v>-1.4524616609253089E-11</v>
      </c>
      <c r="W73" s="361">
        <f t="shared" si="18"/>
        <v>1281704.8840663147</v>
      </c>
    </row>
    <row r="74" spans="1:23">
      <c r="A74" s="307" t="s">
        <v>173</v>
      </c>
      <c r="B74" s="365">
        <f>SUM(B71:B73)</f>
        <v>228166.88916284824</v>
      </c>
      <c r="C74" s="365">
        <f t="shared" ref="C74:U74" si="20">SUM(C71:C73)</f>
        <v>215297.3246950148</v>
      </c>
      <c r="D74" s="365">
        <f t="shared" si="20"/>
        <v>202146.37239212368</v>
      </c>
      <c r="E74" s="365">
        <f t="shared" si="20"/>
        <v>190535.86940356914</v>
      </c>
      <c r="F74" s="365">
        <f t="shared" si="20"/>
        <v>179577.65652042979</v>
      </c>
      <c r="G74" s="365">
        <f t="shared" si="20"/>
        <v>169252.37847792861</v>
      </c>
      <c r="H74" s="365">
        <f t="shared" si="20"/>
        <v>159365.99286563738</v>
      </c>
      <c r="I74" s="365">
        <f t="shared" si="20"/>
        <v>149520.9426781362</v>
      </c>
      <c r="J74" s="365">
        <f t="shared" si="20"/>
        <v>139748.02448133341</v>
      </c>
      <c r="K74" s="365">
        <f t="shared" si="20"/>
        <v>130038.66337123605</v>
      </c>
      <c r="L74" s="365">
        <f t="shared" si="20"/>
        <v>120293.65979916303</v>
      </c>
      <c r="M74" s="365">
        <f t="shared" si="20"/>
        <v>110509.0163485761</v>
      </c>
      <c r="N74" s="365">
        <f t="shared" si="20"/>
        <v>100434.04413879621</v>
      </c>
      <c r="O74" s="365">
        <f t="shared" si="20"/>
        <v>90666.452110692408</v>
      </c>
      <c r="P74" s="365">
        <f t="shared" si="20"/>
        <v>80539.606557033374</v>
      </c>
      <c r="Q74" s="365">
        <f t="shared" si="20"/>
        <v>74049.416434456987</v>
      </c>
      <c r="R74" s="365">
        <f t="shared" si="20"/>
        <v>69749.45439468688</v>
      </c>
      <c r="S74" s="365">
        <f t="shared" si="20"/>
        <v>65454.364701076338</v>
      </c>
      <c r="T74" s="365">
        <f t="shared" si="20"/>
        <v>61164.171565719473</v>
      </c>
      <c r="U74" s="365">
        <f t="shared" si="20"/>
        <v>56878.877116115909</v>
      </c>
      <c r="W74" s="361">
        <f t="shared" si="18"/>
        <v>2593389.1772145741</v>
      </c>
    </row>
    <row r="75" spans="1:23">
      <c r="A75" s="256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W75" s="361"/>
    </row>
    <row r="76" spans="1:23">
      <c r="A76" s="307" t="s">
        <v>183</v>
      </c>
      <c r="B76" s="365">
        <f>MAX(B74,B70)</f>
        <v>228166.88916284824</v>
      </c>
      <c r="C76" s="365">
        <f t="shared" ref="C76:U76" si="21">MAX(C74,C70)</f>
        <v>219197.48715131142</v>
      </c>
      <c r="D76" s="365">
        <f t="shared" si="21"/>
        <v>212201.82266775891</v>
      </c>
      <c r="E76" s="365">
        <f t="shared" si="21"/>
        <v>205206.1581842064</v>
      </c>
      <c r="F76" s="365">
        <f t="shared" si="21"/>
        <v>198210.4937006539</v>
      </c>
      <c r="G76" s="365">
        <f t="shared" si="21"/>
        <v>191214.82921710139</v>
      </c>
      <c r="H76" s="365">
        <f t="shared" si="21"/>
        <v>184219.16473354888</v>
      </c>
      <c r="I76" s="365">
        <f t="shared" si="21"/>
        <v>177223.50024999637</v>
      </c>
      <c r="J76" s="365">
        <f t="shared" si="21"/>
        <v>170227.83576644387</v>
      </c>
      <c r="K76" s="365">
        <f t="shared" si="21"/>
        <v>163232.17128289136</v>
      </c>
      <c r="L76" s="365">
        <f t="shared" si="21"/>
        <v>156236.50679933885</v>
      </c>
      <c r="M76" s="365">
        <f t="shared" si="21"/>
        <v>149240.84231578634</v>
      </c>
      <c r="N76" s="365">
        <f t="shared" si="21"/>
        <v>142245.17783223384</v>
      </c>
      <c r="O76" s="365">
        <f t="shared" si="21"/>
        <v>135249.51334868133</v>
      </c>
      <c r="P76" s="365">
        <f t="shared" si="21"/>
        <v>128253.84886512884</v>
      </c>
      <c r="Q76" s="365">
        <f t="shared" si="21"/>
        <v>121258.18438157634</v>
      </c>
      <c r="R76" s="365">
        <f t="shared" si="21"/>
        <v>114262.51989802385</v>
      </c>
      <c r="S76" s="365">
        <f t="shared" si="21"/>
        <v>107266.85541447136</v>
      </c>
      <c r="T76" s="365">
        <f t="shared" si="21"/>
        <v>100271.19093091886</v>
      </c>
      <c r="U76" s="365">
        <f t="shared" si="21"/>
        <v>93275.52644736637</v>
      </c>
      <c r="W76" s="361">
        <f t="shared" si="18"/>
        <v>3196660.5183502869</v>
      </c>
    </row>
    <row r="77" spans="1:23">
      <c r="A77" s="362" t="s">
        <v>166</v>
      </c>
      <c r="B77" s="366">
        <f>Assumptions!$C$41</f>
        <v>2.5000000000000001E-3</v>
      </c>
      <c r="C77" s="366">
        <f>Assumptions!$C$42</f>
        <v>2.5000000000000001E-3</v>
      </c>
      <c r="D77" s="366">
        <f>Assumptions!$C$42</f>
        <v>2.5000000000000001E-3</v>
      </c>
      <c r="E77" s="366">
        <f>Assumptions!$C$42</f>
        <v>2.5000000000000001E-3</v>
      </c>
      <c r="F77" s="366">
        <f>Assumptions!$C$42</f>
        <v>2.5000000000000001E-3</v>
      </c>
      <c r="G77" s="366">
        <f>Assumptions!$C$42</f>
        <v>2.5000000000000001E-3</v>
      </c>
      <c r="H77" s="366">
        <f>Assumptions!$C$42</f>
        <v>2.5000000000000001E-3</v>
      </c>
      <c r="I77" s="366">
        <f>Assumptions!$C$42</f>
        <v>2.5000000000000001E-3</v>
      </c>
      <c r="J77" s="366">
        <f>Assumptions!$C$42</f>
        <v>2.5000000000000001E-3</v>
      </c>
      <c r="K77" s="366">
        <f>Assumptions!$C$42</f>
        <v>2.5000000000000001E-3</v>
      </c>
      <c r="L77" s="366">
        <f>Assumptions!$C$42</f>
        <v>2.5000000000000001E-3</v>
      </c>
      <c r="M77" s="366">
        <f>Assumptions!$C$42</f>
        <v>2.5000000000000001E-3</v>
      </c>
      <c r="N77" s="366">
        <f>Assumptions!$C$42</f>
        <v>2.5000000000000001E-3</v>
      </c>
      <c r="O77" s="366">
        <f>Assumptions!$C$42</f>
        <v>2.5000000000000001E-3</v>
      </c>
      <c r="P77" s="366">
        <f>Assumptions!$C$42</f>
        <v>2.5000000000000001E-3</v>
      </c>
      <c r="Q77" s="366">
        <f>Assumptions!$C$42</f>
        <v>2.5000000000000001E-3</v>
      </c>
      <c r="R77" s="366">
        <f>Assumptions!$C$42</f>
        <v>2.5000000000000001E-3</v>
      </c>
      <c r="S77" s="366">
        <f>Assumptions!$C$42</f>
        <v>2.5000000000000001E-3</v>
      </c>
      <c r="T77" s="366">
        <f>Assumptions!$C$42</f>
        <v>2.5000000000000001E-3</v>
      </c>
      <c r="U77" s="366">
        <f>Assumptions!$C$42</f>
        <v>2.5000000000000001E-3</v>
      </c>
      <c r="W77" s="361"/>
    </row>
    <row r="78" spans="1:23">
      <c r="A78" s="256" t="s">
        <v>167</v>
      </c>
      <c r="B78" s="367">
        <v>570.35295869937954</v>
      </c>
      <c r="C78" s="367">
        <v>547.91255128175533</v>
      </c>
      <c r="D78" s="367">
        <v>530.42598049616743</v>
      </c>
      <c r="E78" s="367">
        <v>512.93940971057953</v>
      </c>
      <c r="F78" s="367">
        <v>495.45283892499162</v>
      </c>
      <c r="G78" s="367">
        <v>477.96626813940372</v>
      </c>
      <c r="H78" s="367">
        <v>460.47969735381582</v>
      </c>
      <c r="I78" s="367">
        <v>442.99312656822792</v>
      </c>
      <c r="J78" s="367">
        <v>425.50655578264002</v>
      </c>
      <c r="K78" s="367">
        <v>408.01998499705212</v>
      </c>
      <c r="L78" s="367">
        <v>390.53341421146422</v>
      </c>
      <c r="M78" s="367">
        <v>373.04684342587632</v>
      </c>
      <c r="N78" s="367">
        <v>355.56027264028842</v>
      </c>
      <c r="O78" s="367">
        <v>338.07370185470052</v>
      </c>
      <c r="P78" s="367">
        <v>320.58713106911256</v>
      </c>
      <c r="Q78" s="367">
        <v>303.1005602835246</v>
      </c>
      <c r="R78" s="367">
        <v>285.6139894979367</v>
      </c>
      <c r="S78" s="367">
        <v>268.12741871234874</v>
      </c>
      <c r="T78" s="367">
        <v>250.64084792676081</v>
      </c>
      <c r="U78" s="367">
        <v>233.15427714117286</v>
      </c>
      <c r="W78" s="361">
        <f t="shared" si="18"/>
        <v>7990.4878287172014</v>
      </c>
    </row>
    <row r="79" spans="1:23">
      <c r="A79" s="362"/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  <c r="T79" s="416"/>
      <c r="U79" s="416"/>
    </row>
    <row r="80" spans="1:23">
      <c r="A80" s="256"/>
      <c r="B80" s="31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</row>
    <row r="81" spans="1:44">
      <c r="A81" s="315" t="s">
        <v>76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>
      <c r="A82" s="31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38" t="s">
        <v>233</v>
      </c>
      <c r="B83" s="322">
        <f t="shared" ref="B83:U83" si="22">B33</f>
        <v>12946.945331725285</v>
      </c>
      <c r="C83" s="322">
        <f t="shared" si="22"/>
        <v>14651.516669102721</v>
      </c>
      <c r="D83" s="322">
        <f t="shared" si="22"/>
        <v>16587.797132863154</v>
      </c>
      <c r="E83" s="322">
        <f t="shared" si="22"/>
        <v>18708.816408538507</v>
      </c>
      <c r="F83" s="322">
        <f t="shared" si="22"/>
        <v>21031.440628038436</v>
      </c>
      <c r="G83" s="322">
        <f t="shared" si="22"/>
        <v>21839.656195239881</v>
      </c>
      <c r="H83" s="322">
        <f t="shared" si="22"/>
        <v>22751.66290933964</v>
      </c>
      <c r="I83" s="322">
        <f t="shared" si="22"/>
        <v>23657.993076257535</v>
      </c>
      <c r="J83" s="322">
        <f t="shared" si="22"/>
        <v>24641.654004918113</v>
      </c>
      <c r="K83" s="322">
        <f t="shared" si="22"/>
        <v>25630.566477529122</v>
      </c>
      <c r="L83" s="322">
        <f t="shared" si="22"/>
        <v>26929.049090070497</v>
      </c>
      <c r="M83" s="322">
        <f t="shared" si="22"/>
        <v>28262.962264907859</v>
      </c>
      <c r="N83" s="322">
        <f t="shared" si="22"/>
        <v>29340.909224141105</v>
      </c>
      <c r="O83" s="322">
        <f t="shared" si="22"/>
        <v>30813.116026817752</v>
      </c>
      <c r="P83" s="322">
        <f t="shared" si="22"/>
        <v>31912.999382155998</v>
      </c>
      <c r="Q83" s="322">
        <f t="shared" si="22"/>
        <v>33861.498356060365</v>
      </c>
      <c r="R83" s="322">
        <f t="shared" si="22"/>
        <v>35330.48969592381</v>
      </c>
      <c r="S83" s="322">
        <f t="shared" si="22"/>
        <v>36871.914132834463</v>
      </c>
      <c r="T83" s="322">
        <f t="shared" si="22"/>
        <v>38509.505439170644</v>
      </c>
      <c r="U83" s="322">
        <f t="shared" si="22"/>
        <v>40251.451357340025</v>
      </c>
      <c r="W83" s="361">
        <f>SUM(B83:U83)</f>
        <v>534531.94380297489</v>
      </c>
    </row>
    <row r="84" spans="1:44">
      <c r="A84" s="38" t="s">
        <v>119</v>
      </c>
      <c r="B84" s="322">
        <f>B27</f>
        <v>6995.664483552493</v>
      </c>
      <c r="C84" s="322">
        <f t="shared" ref="C84:U84" si="23">C27</f>
        <v>6995.664483552493</v>
      </c>
      <c r="D84" s="322">
        <f t="shared" si="23"/>
        <v>6995.664483552493</v>
      </c>
      <c r="E84" s="322">
        <f t="shared" si="23"/>
        <v>6995.664483552493</v>
      </c>
      <c r="F84" s="322">
        <f t="shared" si="23"/>
        <v>6995.664483552493</v>
      </c>
      <c r="G84" s="322">
        <f t="shared" si="23"/>
        <v>6995.664483552493</v>
      </c>
      <c r="H84" s="322">
        <f t="shared" si="23"/>
        <v>6995.664483552493</v>
      </c>
      <c r="I84" s="322">
        <f t="shared" si="23"/>
        <v>6995.664483552493</v>
      </c>
      <c r="J84" s="322">
        <f t="shared" si="23"/>
        <v>6995.664483552493</v>
      </c>
      <c r="K84" s="322">
        <f t="shared" si="23"/>
        <v>6995.664483552493</v>
      </c>
      <c r="L84" s="322">
        <f t="shared" si="23"/>
        <v>6995.664483552493</v>
      </c>
      <c r="M84" s="322">
        <f t="shared" si="23"/>
        <v>6995.664483552493</v>
      </c>
      <c r="N84" s="322">
        <f t="shared" si="23"/>
        <v>6995.664483552493</v>
      </c>
      <c r="O84" s="322">
        <f t="shared" si="23"/>
        <v>6995.664483552493</v>
      </c>
      <c r="P84" s="322">
        <f t="shared" si="23"/>
        <v>6995.664483552493</v>
      </c>
      <c r="Q84" s="322">
        <f t="shared" si="23"/>
        <v>6995.664483552493</v>
      </c>
      <c r="R84" s="322">
        <f t="shared" si="23"/>
        <v>6995.664483552493</v>
      </c>
      <c r="S84" s="322">
        <f t="shared" si="23"/>
        <v>6995.664483552493</v>
      </c>
      <c r="T84" s="322">
        <f t="shared" si="23"/>
        <v>6995.664483552493</v>
      </c>
      <c r="U84" s="322">
        <f t="shared" si="23"/>
        <v>6995.664483552493</v>
      </c>
      <c r="W84" s="361">
        <f>SUM(B84:U84)</f>
        <v>139913.28967104986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5">
      <c r="A85" s="38" t="s">
        <v>178</v>
      </c>
      <c r="B85" s="368">
        <f>-Depreciation!C45</f>
        <v>-11659.440805920822</v>
      </c>
      <c r="C85" s="368">
        <f>-Depreciation!D45</f>
        <v>-22152.937531249558</v>
      </c>
      <c r="D85" s="368">
        <f>-Depreciation!E45</f>
        <v>-19937.643778124606</v>
      </c>
      <c r="E85" s="368">
        <f>-Depreciation!F45</f>
        <v>-17955.538841118065</v>
      </c>
      <c r="F85" s="368">
        <f>-Depreciation!G45</f>
        <v>-16159.984957006258</v>
      </c>
      <c r="G85" s="368">
        <f>-Depreciation!H45</f>
        <v>-14527.663244177342</v>
      </c>
      <c r="H85" s="368">
        <f>-Depreciation!I45</f>
        <v>-13758.140150986566</v>
      </c>
      <c r="I85" s="368">
        <f>-Depreciation!J45</f>
        <v>-13781.45903259841</v>
      </c>
      <c r="J85" s="368">
        <f>-Depreciation!K45</f>
        <v>-13758.140150986566</v>
      </c>
      <c r="K85" s="368">
        <f>-Depreciation!L45</f>
        <v>-13781.45903259841</v>
      </c>
      <c r="L85" s="368">
        <f>-Depreciation!M45</f>
        <v>-13758.140150986566</v>
      </c>
      <c r="M85" s="368">
        <f>-Depreciation!N45</f>
        <v>-13781.45903259841</v>
      </c>
      <c r="N85" s="368">
        <f>-Depreciation!O45</f>
        <v>-13758.140150986566</v>
      </c>
      <c r="O85" s="368">
        <f>-Depreciation!P45</f>
        <v>-13781.45903259841</v>
      </c>
      <c r="P85" s="368">
        <f>-Depreciation!Q45</f>
        <v>-13758.140150986566</v>
      </c>
      <c r="Q85" s="368">
        <f>-Depreciation!R45</f>
        <v>-6879.0700754932832</v>
      </c>
      <c r="R85" s="368">
        <f>-Depreciation!S45</f>
        <v>0</v>
      </c>
      <c r="S85" s="368">
        <f>-Depreciation!T45</f>
        <v>0</v>
      </c>
      <c r="T85" s="368">
        <f>-Depreciation!U45</f>
        <v>0</v>
      </c>
      <c r="U85" s="368">
        <f>-Depreciation!V45</f>
        <v>0</v>
      </c>
      <c r="W85" s="369">
        <f>SUM(B85:U85)</f>
        <v>-233188.81611841638</v>
      </c>
    </row>
    <row r="86" spans="1:44">
      <c r="A86" s="327" t="s">
        <v>118</v>
      </c>
      <c r="B86" s="267">
        <f t="shared" ref="B86:U86" si="24">SUM(B83:B85)</f>
        <v>8283.1690093569559</v>
      </c>
      <c r="C86" s="267">
        <f t="shared" si="24"/>
        <v>-505.75637859434573</v>
      </c>
      <c r="D86" s="267">
        <f t="shared" si="24"/>
        <v>3645.817838291041</v>
      </c>
      <c r="E86" s="267">
        <f t="shared" si="24"/>
        <v>7748.9420509729352</v>
      </c>
      <c r="F86" s="267">
        <f t="shared" si="24"/>
        <v>11867.120154584671</v>
      </c>
      <c r="G86" s="267">
        <f t="shared" si="24"/>
        <v>14307.657434615032</v>
      </c>
      <c r="H86" s="267">
        <f t="shared" si="24"/>
        <v>15989.187241905567</v>
      </c>
      <c r="I86" s="267">
        <f t="shared" si="24"/>
        <v>16872.198527211618</v>
      </c>
      <c r="J86" s="267">
        <f t="shared" si="24"/>
        <v>17879.178337484038</v>
      </c>
      <c r="K86" s="267">
        <f t="shared" si="24"/>
        <v>18844.771928483206</v>
      </c>
      <c r="L86" s="267">
        <f t="shared" si="24"/>
        <v>20166.573422636422</v>
      </c>
      <c r="M86" s="267">
        <f t="shared" si="24"/>
        <v>21477.167715861942</v>
      </c>
      <c r="N86" s="267">
        <f t="shared" si="24"/>
        <v>22578.43355670703</v>
      </c>
      <c r="O86" s="267">
        <f t="shared" si="24"/>
        <v>24027.321477771831</v>
      </c>
      <c r="P86" s="267">
        <f t="shared" si="24"/>
        <v>25150.523714721923</v>
      </c>
      <c r="Q86" s="267">
        <f t="shared" si="24"/>
        <v>33978.092764119574</v>
      </c>
      <c r="R86" s="267">
        <f t="shared" si="24"/>
        <v>42326.154179476303</v>
      </c>
      <c r="S86" s="267">
        <f t="shared" si="24"/>
        <v>43867.578616386956</v>
      </c>
      <c r="T86" s="267">
        <f t="shared" si="24"/>
        <v>45505.169922723137</v>
      </c>
      <c r="U86" s="267">
        <f t="shared" si="24"/>
        <v>47247.115840892518</v>
      </c>
      <c r="W86" s="361">
        <f>SUM(B86:U86)</f>
        <v>441256.41735560843</v>
      </c>
    </row>
    <row r="87" spans="1:44">
      <c r="A87" s="38"/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</row>
    <row r="88" spans="1:44">
      <c r="A88" s="38" t="s">
        <v>35</v>
      </c>
      <c r="B88" s="370">
        <f>Assumptions!$C$38</f>
        <v>0.06</v>
      </c>
      <c r="C88" s="370">
        <f>Assumptions!$C$38</f>
        <v>0.06</v>
      </c>
      <c r="D88" s="370">
        <f>Assumptions!$C$38</f>
        <v>0.06</v>
      </c>
      <c r="E88" s="370">
        <f>Assumptions!$C$38</f>
        <v>0.06</v>
      </c>
      <c r="F88" s="370">
        <f>Assumptions!$C$38</f>
        <v>0.06</v>
      </c>
      <c r="G88" s="370">
        <f>Assumptions!$C$38</f>
        <v>0.06</v>
      </c>
      <c r="H88" s="370">
        <f>Assumptions!$C$38</f>
        <v>0.06</v>
      </c>
      <c r="I88" s="370">
        <f>Assumptions!$C$38</f>
        <v>0.06</v>
      </c>
      <c r="J88" s="370">
        <f>Assumptions!$C$38</f>
        <v>0.06</v>
      </c>
      <c r="K88" s="370">
        <f>Assumptions!$C$38</f>
        <v>0.06</v>
      </c>
      <c r="L88" s="370">
        <f>Assumptions!$C$38</f>
        <v>0.06</v>
      </c>
      <c r="M88" s="370">
        <f>Assumptions!$C$38</f>
        <v>0.06</v>
      </c>
      <c r="N88" s="370">
        <f>Assumptions!$C$38</f>
        <v>0.06</v>
      </c>
      <c r="O88" s="370">
        <f>Assumptions!$C$38</f>
        <v>0.06</v>
      </c>
      <c r="P88" s="370">
        <f>Assumptions!$C$38</f>
        <v>0.06</v>
      </c>
      <c r="Q88" s="370">
        <f>Assumptions!$C$38</f>
        <v>0.06</v>
      </c>
      <c r="R88" s="370">
        <f>Assumptions!$C$38</f>
        <v>0.06</v>
      </c>
      <c r="S88" s="370">
        <f>Assumptions!$C$38</f>
        <v>0.06</v>
      </c>
      <c r="T88" s="370">
        <f>Assumptions!$C$38</f>
        <v>0.06</v>
      </c>
      <c r="U88" s="370">
        <f>Assumptions!$C$38</f>
        <v>0.06</v>
      </c>
    </row>
    <row r="89" spans="1:44">
      <c r="A89" s="38" t="s">
        <v>120</v>
      </c>
      <c r="B89" s="322">
        <f>B86*B88</f>
        <v>496.99014056141732</v>
      </c>
      <c r="C89" s="322">
        <f t="shared" ref="C89:U89" si="25">C86*C88</f>
        <v>-30.345382715660744</v>
      </c>
      <c r="D89" s="322">
        <f t="shared" si="25"/>
        <v>218.74907029746245</v>
      </c>
      <c r="E89" s="322">
        <f t="shared" si="25"/>
        <v>464.93652305837611</v>
      </c>
      <c r="F89" s="322">
        <f t="shared" si="25"/>
        <v>712.02720927508017</v>
      </c>
      <c r="G89" s="322">
        <f t="shared" si="25"/>
        <v>858.45944607690183</v>
      </c>
      <c r="H89" s="322">
        <f t="shared" si="25"/>
        <v>959.35123451433401</v>
      </c>
      <c r="I89" s="322">
        <f t="shared" si="25"/>
        <v>1012.331911632697</v>
      </c>
      <c r="J89" s="322">
        <f t="shared" si="25"/>
        <v>1072.7507002490422</v>
      </c>
      <c r="K89" s="322">
        <f t="shared" si="25"/>
        <v>1130.6863157089922</v>
      </c>
      <c r="L89" s="322">
        <f t="shared" si="25"/>
        <v>1209.9944053581853</v>
      </c>
      <c r="M89" s="322">
        <f t="shared" si="25"/>
        <v>1288.6300629517166</v>
      </c>
      <c r="N89" s="322">
        <f t="shared" si="25"/>
        <v>1354.7060134024218</v>
      </c>
      <c r="O89" s="322">
        <f t="shared" si="25"/>
        <v>1441.6392886663098</v>
      </c>
      <c r="P89" s="322">
        <f t="shared" si="25"/>
        <v>1509.0314228833154</v>
      </c>
      <c r="Q89" s="322">
        <f t="shared" si="25"/>
        <v>2038.6855658471743</v>
      </c>
      <c r="R89" s="322">
        <f t="shared" si="25"/>
        <v>2539.5692507685781</v>
      </c>
      <c r="S89" s="322">
        <f t="shared" si="25"/>
        <v>2632.0547169832171</v>
      </c>
      <c r="T89" s="322">
        <f t="shared" si="25"/>
        <v>2730.3101953633882</v>
      </c>
      <c r="U89" s="322">
        <f t="shared" si="25"/>
        <v>2834.826950453551</v>
      </c>
    </row>
    <row r="90" spans="1:44">
      <c r="A90" s="38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4">
      <c r="A91" s="38" t="s">
        <v>121</v>
      </c>
      <c r="B91" s="322">
        <v>0</v>
      </c>
      <c r="C91" s="322">
        <f t="shared" ref="C91:U91" si="26">B95</f>
        <v>0</v>
      </c>
      <c r="D91" s="322">
        <f t="shared" si="26"/>
        <v>30.345382715660744</v>
      </c>
      <c r="E91" s="322">
        <f t="shared" si="26"/>
        <v>0</v>
      </c>
      <c r="F91" s="322">
        <f t="shared" si="26"/>
        <v>0</v>
      </c>
      <c r="G91" s="322">
        <f t="shared" si="26"/>
        <v>0</v>
      </c>
      <c r="H91" s="322">
        <f t="shared" si="26"/>
        <v>0</v>
      </c>
      <c r="I91" s="322">
        <f t="shared" si="26"/>
        <v>0</v>
      </c>
      <c r="J91" s="322">
        <f t="shared" si="26"/>
        <v>0</v>
      </c>
      <c r="K91" s="322">
        <f t="shared" si="26"/>
        <v>0</v>
      </c>
      <c r="L91" s="322">
        <f t="shared" si="26"/>
        <v>0</v>
      </c>
      <c r="M91" s="322">
        <f t="shared" si="26"/>
        <v>0</v>
      </c>
      <c r="N91" s="322">
        <f>M95</f>
        <v>0</v>
      </c>
      <c r="O91" s="322">
        <f t="shared" si="26"/>
        <v>0</v>
      </c>
      <c r="P91" s="322">
        <f t="shared" si="26"/>
        <v>0</v>
      </c>
      <c r="Q91" s="322">
        <f t="shared" si="26"/>
        <v>0</v>
      </c>
      <c r="R91" s="322">
        <v>0</v>
      </c>
      <c r="S91" s="322">
        <f t="shared" si="26"/>
        <v>0</v>
      </c>
      <c r="T91" s="322">
        <f t="shared" si="26"/>
        <v>0</v>
      </c>
      <c r="U91" s="322">
        <f t="shared" si="26"/>
        <v>0</v>
      </c>
    </row>
    <row r="92" spans="1:44">
      <c r="A92" s="38" t="s">
        <v>122</v>
      </c>
      <c r="B92" s="332">
        <f t="shared" ref="B92:U92" si="27">IF(B62&gt;2020,0,IF(B89&lt;0,-B89,0))</f>
        <v>0</v>
      </c>
      <c r="C92" s="332">
        <f t="shared" si="27"/>
        <v>30.345382715660744</v>
      </c>
      <c r="D92" s="332">
        <f t="shared" si="27"/>
        <v>0</v>
      </c>
      <c r="E92" s="332">
        <f t="shared" si="27"/>
        <v>0</v>
      </c>
      <c r="F92" s="332">
        <f t="shared" si="27"/>
        <v>0</v>
      </c>
      <c r="G92" s="332">
        <f t="shared" si="27"/>
        <v>0</v>
      </c>
      <c r="H92" s="332">
        <f t="shared" si="27"/>
        <v>0</v>
      </c>
      <c r="I92" s="332">
        <f t="shared" si="27"/>
        <v>0</v>
      </c>
      <c r="J92" s="332">
        <f t="shared" si="27"/>
        <v>0</v>
      </c>
      <c r="K92" s="332">
        <f t="shared" si="27"/>
        <v>0</v>
      </c>
      <c r="L92" s="332">
        <f t="shared" si="27"/>
        <v>0</v>
      </c>
      <c r="M92" s="332">
        <f t="shared" si="27"/>
        <v>0</v>
      </c>
      <c r="N92" s="332">
        <f t="shared" si="27"/>
        <v>0</v>
      </c>
      <c r="O92" s="332">
        <f t="shared" si="27"/>
        <v>0</v>
      </c>
      <c r="P92" s="332">
        <f t="shared" si="27"/>
        <v>0</v>
      </c>
      <c r="Q92" s="332">
        <f t="shared" si="27"/>
        <v>0</v>
      </c>
      <c r="R92" s="332">
        <f t="shared" si="27"/>
        <v>0</v>
      </c>
      <c r="S92" s="332">
        <f t="shared" si="27"/>
        <v>0</v>
      </c>
      <c r="T92" s="332">
        <f t="shared" si="27"/>
        <v>0</v>
      </c>
      <c r="U92" s="332">
        <f t="shared" si="27"/>
        <v>0</v>
      </c>
    </row>
    <row r="93" spans="1:44">
      <c r="A93" s="38" t="s">
        <v>123</v>
      </c>
      <c r="B93" s="371">
        <v>0</v>
      </c>
      <c r="C93" s="371">
        <v>0</v>
      </c>
      <c r="D93" s="371">
        <v>0</v>
      </c>
      <c r="E93" s="371">
        <v>0</v>
      </c>
      <c r="F93" s="371">
        <v>0</v>
      </c>
      <c r="G93" s="371">
        <v>0</v>
      </c>
      <c r="H93" s="371">
        <v>0</v>
      </c>
      <c r="I93" s="371">
        <v>0</v>
      </c>
      <c r="J93" s="371">
        <v>0</v>
      </c>
      <c r="K93" s="371">
        <v>0</v>
      </c>
      <c r="L93" s="371">
        <v>0</v>
      </c>
      <c r="M93" s="371">
        <v>0</v>
      </c>
      <c r="N93" s="371">
        <v>0</v>
      </c>
      <c r="O93" s="371">
        <v>0</v>
      </c>
      <c r="P93" s="371">
        <v>0</v>
      </c>
      <c r="Q93" s="371">
        <v>0</v>
      </c>
      <c r="R93" s="371">
        <v>0</v>
      </c>
      <c r="S93" s="371">
        <v>0</v>
      </c>
      <c r="T93" s="322">
        <f>IF(L92&gt;(SUM(M94:S94)+SUM(L93:S93))*-1,L92-(SUM(L94:S94)+SUM(L93:S93))*-1,0)</f>
        <v>0</v>
      </c>
      <c r="U93" s="322">
        <f>IF(M92&gt;(SUM(N94:T94)+SUM(M93:T93))*-1,M92-(SUM(M94:T94)+SUM(M93:T93))*-1,0)</f>
        <v>0</v>
      </c>
    </row>
    <row r="94" spans="1:44">
      <c r="A94" s="9" t="s">
        <v>124</v>
      </c>
      <c r="B94" s="372">
        <f t="shared" ref="B94:T94" si="28">IF(B89&lt;0,0,IF(B91&gt;B89,-B89,-B91))</f>
        <v>0</v>
      </c>
      <c r="C94" s="372">
        <f t="shared" si="28"/>
        <v>0</v>
      </c>
      <c r="D94" s="372">
        <f t="shared" si="28"/>
        <v>-30.345382715660744</v>
      </c>
      <c r="E94" s="372">
        <f t="shared" si="28"/>
        <v>0</v>
      </c>
      <c r="F94" s="372">
        <f t="shared" si="28"/>
        <v>0</v>
      </c>
      <c r="G94" s="372">
        <f t="shared" si="28"/>
        <v>0</v>
      </c>
      <c r="H94" s="372">
        <f t="shared" si="28"/>
        <v>0</v>
      </c>
      <c r="I94" s="372">
        <f t="shared" si="28"/>
        <v>0</v>
      </c>
      <c r="J94" s="372">
        <f t="shared" si="28"/>
        <v>0</v>
      </c>
      <c r="K94" s="372">
        <f t="shared" si="28"/>
        <v>0</v>
      </c>
      <c r="L94" s="372">
        <f t="shared" si="28"/>
        <v>0</v>
      </c>
      <c r="M94" s="372">
        <f t="shared" si="28"/>
        <v>0</v>
      </c>
      <c r="N94" s="372">
        <f t="shared" si="28"/>
        <v>0</v>
      </c>
      <c r="O94" s="372">
        <f t="shared" si="28"/>
        <v>0</v>
      </c>
      <c r="P94" s="372">
        <f t="shared" si="28"/>
        <v>0</v>
      </c>
      <c r="Q94" s="372">
        <f t="shared" si="28"/>
        <v>0</v>
      </c>
      <c r="R94" s="372">
        <f t="shared" si="28"/>
        <v>0</v>
      </c>
      <c r="S94" s="372">
        <f t="shared" si="28"/>
        <v>0</v>
      </c>
      <c r="T94" s="372">
        <f t="shared" si="28"/>
        <v>0</v>
      </c>
      <c r="U94" s="372">
        <f>IF(U89&lt;0,0,IF(U91&gt;U89,-U89,-U91))</f>
        <v>0</v>
      </c>
    </row>
    <row r="95" spans="1:44">
      <c r="A95" s="9" t="s">
        <v>125</v>
      </c>
      <c r="B95" s="372">
        <f t="shared" ref="B95:U95" si="29">SUM(B91:B94)</f>
        <v>0</v>
      </c>
      <c r="C95" s="372">
        <f t="shared" si="29"/>
        <v>30.345382715660744</v>
      </c>
      <c r="D95" s="372">
        <f t="shared" si="29"/>
        <v>0</v>
      </c>
      <c r="E95" s="372">
        <f t="shared" si="29"/>
        <v>0</v>
      </c>
      <c r="F95" s="372">
        <f t="shared" si="29"/>
        <v>0</v>
      </c>
      <c r="G95" s="372">
        <f t="shared" si="29"/>
        <v>0</v>
      </c>
      <c r="H95" s="372">
        <f t="shared" si="29"/>
        <v>0</v>
      </c>
      <c r="I95" s="372">
        <f t="shared" si="29"/>
        <v>0</v>
      </c>
      <c r="J95" s="372">
        <f t="shared" si="29"/>
        <v>0</v>
      </c>
      <c r="K95" s="372">
        <f t="shared" si="29"/>
        <v>0</v>
      </c>
      <c r="L95" s="372">
        <f t="shared" si="29"/>
        <v>0</v>
      </c>
      <c r="M95" s="372">
        <f t="shared" si="29"/>
        <v>0</v>
      </c>
      <c r="N95" s="372">
        <f t="shared" si="29"/>
        <v>0</v>
      </c>
      <c r="O95" s="372">
        <f t="shared" si="29"/>
        <v>0</v>
      </c>
      <c r="P95" s="372">
        <f t="shared" si="29"/>
        <v>0</v>
      </c>
      <c r="Q95" s="372">
        <f t="shared" si="29"/>
        <v>0</v>
      </c>
      <c r="R95" s="372">
        <f t="shared" si="29"/>
        <v>0</v>
      </c>
      <c r="S95" s="372">
        <f t="shared" si="29"/>
        <v>0</v>
      </c>
      <c r="T95" s="372">
        <f t="shared" si="29"/>
        <v>0</v>
      </c>
      <c r="U95" s="372">
        <f t="shared" si="29"/>
        <v>0</v>
      </c>
    </row>
    <row r="96" spans="1:44">
      <c r="A96" s="9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</row>
    <row r="97" spans="1:23" ht="13.5" thickBot="1">
      <c r="A97" s="14" t="s">
        <v>117</v>
      </c>
      <c r="B97" s="317">
        <f t="shared" ref="B97:U97" si="30">IF(B89&lt;0,0,B89+B94)</f>
        <v>496.99014056141732</v>
      </c>
      <c r="C97" s="317">
        <f t="shared" si="30"/>
        <v>0</v>
      </c>
      <c r="D97" s="317">
        <f t="shared" si="30"/>
        <v>188.40368758180171</v>
      </c>
      <c r="E97" s="317">
        <f t="shared" si="30"/>
        <v>464.93652305837611</v>
      </c>
      <c r="F97" s="317">
        <f t="shared" si="30"/>
        <v>712.02720927508017</v>
      </c>
      <c r="G97" s="317">
        <f t="shared" si="30"/>
        <v>858.45944607690183</v>
      </c>
      <c r="H97" s="317">
        <f t="shared" si="30"/>
        <v>959.35123451433401</v>
      </c>
      <c r="I97" s="317">
        <f t="shared" si="30"/>
        <v>1012.331911632697</v>
      </c>
      <c r="J97" s="317">
        <f t="shared" si="30"/>
        <v>1072.7507002490422</v>
      </c>
      <c r="K97" s="317">
        <f t="shared" si="30"/>
        <v>1130.6863157089922</v>
      </c>
      <c r="L97" s="317">
        <f t="shared" si="30"/>
        <v>1209.9944053581853</v>
      </c>
      <c r="M97" s="317">
        <f t="shared" si="30"/>
        <v>1288.6300629517166</v>
      </c>
      <c r="N97" s="317">
        <f t="shared" si="30"/>
        <v>1354.7060134024218</v>
      </c>
      <c r="O97" s="317">
        <f t="shared" si="30"/>
        <v>1441.6392886663098</v>
      </c>
      <c r="P97" s="317">
        <f t="shared" si="30"/>
        <v>1509.0314228833154</v>
      </c>
      <c r="Q97" s="317">
        <f t="shared" si="30"/>
        <v>2038.6855658471743</v>
      </c>
      <c r="R97" s="317">
        <f t="shared" si="30"/>
        <v>2539.5692507685781</v>
      </c>
      <c r="S97" s="317">
        <f t="shared" si="30"/>
        <v>2632.0547169832171</v>
      </c>
      <c r="T97" s="317">
        <f t="shared" si="30"/>
        <v>2730.3101953633882</v>
      </c>
      <c r="U97" s="317">
        <f t="shared" si="30"/>
        <v>2834.826950453551</v>
      </c>
      <c r="W97" s="361">
        <f>SUM(B97:U97)</f>
        <v>26475.3850413365</v>
      </c>
    </row>
  </sheetData>
  <pageMargins left="0.75" right="0.75" top="1" bottom="1" header="0.5" footer="0.5"/>
  <pageSetup scale="36" orientation="landscape" r:id="rId1"/>
  <headerFooter alignWithMargins="0">
    <oddHeader>&amp;L&amp;12Enron's Generation&amp;RCONFIDENTIAL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  <vt:lpstr>Gleason!zinc</vt:lpstr>
      <vt:lpstr>Wheatland!zinc</vt:lpstr>
      <vt:lpstr>Wheatland!Zinc_Distributable_Cash</vt:lpstr>
      <vt:lpstr>Wheatland!Zinc_Net_ATCash</vt:lpstr>
      <vt:lpstr>Wheatland!Zinc_Net_Income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2000-08-14T17:46:47Z</cp:lastPrinted>
  <dcterms:created xsi:type="dcterms:W3CDTF">1999-04-02T01:38:38Z</dcterms:created>
  <dcterms:modified xsi:type="dcterms:W3CDTF">2023-09-13T21:26:30Z</dcterms:modified>
</cp:coreProperties>
</file>