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849254D-DC62-4989-B476-8B83F95426F6}" xr6:coauthVersionLast="47" xr6:coauthVersionMax="47" xr10:uidLastSave="{00000000-0000-0000-0000-000000000000}"/>
  <bookViews>
    <workbookView xWindow="-120" yWindow="-120" windowWidth="38640" windowHeight="15720" tabRatio="520" firstSheet="3" activeTab="11"/>
  </bookViews>
  <sheets>
    <sheet name="Summary Output" sheetId="2" r:id="rId1"/>
    <sheet name="Assumptions" sheetId="23" r:id="rId2"/>
    <sheet name="Power Price Assumption" sheetId="3" r:id="rId3"/>
    <sheet name="IS" sheetId="4" r:id="rId4"/>
    <sheet name="Debt" sheetId="22" r:id="rId5"/>
    <sheet name="CF" sheetId="5" r:id="rId6"/>
    <sheet name="Depreciation" sheetId="20" r:id="rId7"/>
    <sheet name="Tax" sheetId="8" r:id="rId8"/>
    <sheet name="Gleason" sheetId="12" r:id="rId9"/>
    <sheet name="Wheatland" sheetId="13" r:id="rId10"/>
    <sheet name="Wilton" sheetId="14" r:id="rId11"/>
    <sheet name="Allocation" sheetId="16" r:id="rId12"/>
  </sheets>
  <externalReferences>
    <externalReference r:id="rId13"/>
    <externalReference r:id="rId14"/>
    <externalReference r:id="rId15"/>
  </externalReferences>
  <definedNames>
    <definedName name="a" hidden="1">{"Income Statement",#N/A,FALSE,"CFMODEL";"Balance Sheet",#N/A,FALSE,"CFMODEL"}</definedName>
    <definedName name="AnnualHours" localSheetId="6">[3]Assumptions!#REF!</definedName>
    <definedName name="b" hidden="1">{"SourcesUses",#N/A,TRUE,"CFMODEL";"TransOverview",#N/A,TRUE,"CFMODEL"}</definedName>
    <definedName name="Begin_Op" localSheetId="6">'[1]Consol Summary'!$N$7</definedName>
    <definedName name="blm_share" localSheetId="8">Gleason!#REF!</definedName>
    <definedName name="blm_share" localSheetId="9">Wheatland!#REF!</definedName>
    <definedName name="chillers" localSheetId="6">'[1]Consol Summary'!$M$65</definedName>
    <definedName name="coso" localSheetId="8">Gleason!#REF!</definedName>
    <definedName name="coso" localSheetId="9">Wheatland!#REF!</definedName>
    <definedName name="Coso_Distributable_Cash" localSheetId="8">Gleason!#REF!</definedName>
    <definedName name="Coso_Distributable_Cash" localSheetId="9">Wheatland!#REF!</definedName>
    <definedName name="Coso_Net_ATCash" localSheetId="8">Gleason!#REF!</definedName>
    <definedName name="Coso_Net_ATCash" localSheetId="9">Wheatland!#REF!</definedName>
    <definedName name="Coso_Net_Income" localSheetId="8">Gleason!#REF!</definedName>
    <definedName name="Coso_Net_Income" localSheetId="9">Wheatland!#REF!</definedName>
    <definedName name="d" hidden="1">{"SourcesUses",#N/A,TRUE,#N/A;"TransOverview",#N/A,TRUE,"CFMODEL"}</definedName>
    <definedName name="Distributable_Cash" localSheetId="8">Gleason!#REF!</definedName>
    <definedName name="Distributable_Cash" localSheetId="9">Wheatland!#REF!</definedName>
    <definedName name="e" hidden="1">{"SourcesUses",#N/A,TRUE,"FundsFlow";"TransOverview",#N/A,TRUE,"FundsFlow"}</definedName>
    <definedName name="Energy_Credit_Coso" localSheetId="8">Gleason!#REF!</definedName>
    <definedName name="Energy_Credit_Coso" localSheetId="9">Wheatland!#REF!</definedName>
    <definedName name="Energy_Credit_Imperial" localSheetId="8">Gleason!#REF!</definedName>
    <definedName name="Energy_Credit_Imperial" localSheetId="9">Wheatland!#REF!</definedName>
    <definedName name="FPOC_Distributable_Cash" localSheetId="8">Gleason!#REF!</definedName>
    <definedName name="FPOC_Distributable_Cash" localSheetId="9">Wheatland!#REF!</definedName>
    <definedName name="FPOC_Net_ATCash" localSheetId="8">Gleason!#REF!</definedName>
    <definedName name="FPOC_Net_ATCash" localSheetId="9">Wheatland!#REF!</definedName>
    <definedName name="FPOC_Net_Income" localSheetId="8">Gleason!#REF!</definedName>
    <definedName name="FPOC_Net_Income" localSheetId="9">Wheatland!#REF!</definedName>
    <definedName name="FSGC_ATCash" localSheetId="8">Gleason!#REF!</definedName>
    <definedName name="FSGC_ATCash" localSheetId="9">Wheatland!#REF!</definedName>
    <definedName name="FSGC_Distributable_Cash" localSheetId="8">Gleason!#REF!</definedName>
    <definedName name="FSGC_Distributable_Cash" localSheetId="9">Wheatland!#REF!</definedName>
    <definedName name="FSGC_Net_Income" localSheetId="8">Gleason!#REF!</definedName>
    <definedName name="FSGC_Net_Income" localSheetId="9">Wheatland!#REF!</definedName>
    <definedName name="Imperial_Distributable_Cash" localSheetId="8">Gleason!#REF!</definedName>
    <definedName name="Imperial_Distributable_Cash" localSheetId="9">Wheatland!#REF!</definedName>
    <definedName name="Imperial_Geothermal" localSheetId="8">Gleason!#REF!</definedName>
    <definedName name="Imperial_Geothermal" localSheetId="9">Wheatland!#REF!</definedName>
    <definedName name="Imperial_Net_ATCash" localSheetId="8">Gleason!#REF!</definedName>
    <definedName name="Imperial_Net_ATCash" localSheetId="9">Wheatland!#REF!</definedName>
    <definedName name="Imperial_Net_Income" localSheetId="8">Gleason!#REF!</definedName>
    <definedName name="Imperial_Net_Income" localSheetId="9">Wheatland!#REF!</definedName>
    <definedName name="Main_Table" localSheetId="6">'[1]Consol Summary'!$D$22:$I$45</definedName>
    <definedName name="Maint_Accrual" localSheetId="6">[3]Assumptions!#REF!</definedName>
    <definedName name="Minerals" localSheetId="8">Gleason!#REF!</definedName>
    <definedName name="Minerals" localSheetId="9">Wheatland!#REF!</definedName>
    <definedName name="Minerals_Distributable_Cash" localSheetId="8">Gleason!#REF!</definedName>
    <definedName name="Minerals_Distributable_Cash" localSheetId="9">Wheatland!#REF!</definedName>
    <definedName name="Minerals_Net_ATCash" localSheetId="8">Gleason!#REF!</definedName>
    <definedName name="Minerals_Net_ATCash" localSheetId="9">Wheatland!#REF!</definedName>
    <definedName name="Minerals_Net_Income" localSheetId="8">Gleason!#REF!</definedName>
    <definedName name="Minerals_Net_Income" localSheetId="9">Wheatland!#REF!</definedName>
    <definedName name="navyi_share" localSheetId="8">Gleason!#REF!</definedName>
    <definedName name="navyi_share" localSheetId="9">Wheatland!#REF!</definedName>
    <definedName name="navyII_share" localSheetId="8">Gleason!#REF!</definedName>
    <definedName name="navyII_share" localSheetId="9">Wheatland!#REF!</definedName>
    <definedName name="Net_ATCash" localSheetId="8">Gleason!#REF!</definedName>
    <definedName name="Net_ATCash" localSheetId="9">Wheatland!#REF!</definedName>
    <definedName name="Net_Income_Unlevered" localSheetId="8">Gleason!#REF!</definedName>
    <definedName name="Net_Income_Unlevered" localSheetId="9">Wheatland!#REF!</definedName>
    <definedName name="Norcon_Distributable_Cash" localSheetId="8">Gleason!#REF!</definedName>
    <definedName name="Norcon_Distributable_Cash" localSheetId="9">Wheatland!#REF!</definedName>
    <definedName name="Norcon_Net_ATCash" localSheetId="8">Gleason!#REF!</definedName>
    <definedName name="Norcon_Net_ATCash" localSheetId="9">Wheatland!#REF!</definedName>
    <definedName name="Norcon_Net_Income" localSheetId="8">Gleason!#REF!</definedName>
    <definedName name="Norcon_Net_Income" localSheetId="9">Wheatland!#REF!</definedName>
    <definedName name="PERIOD1" localSheetId="6">'[1]Consol Summary'!#REF!</definedName>
    <definedName name="PERIOD2" localSheetId="6">'[1]Consol Summary'!#REF!</definedName>
    <definedName name="PRI_Cash_Taxes" localSheetId="8">Gleason!#REF!</definedName>
    <definedName name="PRI_Cash_Taxes" localSheetId="9">Wheatland!#REF!</definedName>
    <definedName name="PRI_Net_ATCash" localSheetId="8">Gleason!#REF!</definedName>
    <definedName name="PRI_Net_ATCash" localSheetId="9">Wheatland!#REF!</definedName>
    <definedName name="PRI_Net_Income" localSheetId="8">Gleason!#REF!</definedName>
    <definedName name="PRI_Net_Income" localSheetId="9">Wheatland!#REF!</definedName>
    <definedName name="principal" localSheetId="6">'[1]Consol Summary'!#REF!</definedName>
    <definedName name="_xlnm.Print_Area" localSheetId="11">Allocation!$A$1:$E$10</definedName>
    <definedName name="_xlnm.Print_Area" localSheetId="1">Assumptions!$A$1:$G$42</definedName>
    <definedName name="_xlnm.Print_Area" localSheetId="5">CF!$A$1:$V$33</definedName>
    <definedName name="_xlnm.Print_Area" localSheetId="4">Debt!$A$1:$U$88</definedName>
    <definedName name="_xlnm.Print_Area" localSheetId="6">Depreciation!$A$2:$V$65</definedName>
    <definedName name="_xlnm.Print_Area" localSheetId="8">Gleason!$A$2:$U$97</definedName>
    <definedName name="_xlnm.Print_Area" localSheetId="3">IS!$A$2:$U$40</definedName>
    <definedName name="_xlnm.Print_Area" localSheetId="7">Tax!$A$2:$U$20</definedName>
    <definedName name="_xlnm.Print_Area" localSheetId="9">Wheatland!$A$2:$U$98</definedName>
    <definedName name="_xlnm.Print_Area" localSheetId="10">Wilton!$A$2:$U$91</definedName>
    <definedName name="Saranac_Distributable_Cash" localSheetId="8">Gleason!#REF!</definedName>
    <definedName name="Saranac_Distributable_Cash" localSheetId="9">Wheatland!#REF!</definedName>
    <definedName name="Saranac_Net_ATCash" localSheetId="8">Gleason!#REF!</definedName>
    <definedName name="Saranac_Net_ATCash" localSheetId="9">Wheatland!#REF!</definedName>
    <definedName name="Saranac_Net_Income" localSheetId="8">Gleason!#REF!</definedName>
    <definedName name="Saranac_Net_Income" localSheetId="9">Wheatland!#REF!</definedName>
    <definedName name="solver_adj" localSheetId="4" hidden="1">Debt!$B$14,Debt!$B$34,Debt!$B$54</definedName>
    <definedName name="solver_cvg" localSheetId="4" hidden="1">0.001</definedName>
    <definedName name="solver_drv" localSheetId="4" hidden="1">1</definedName>
    <definedName name="solver_est" localSheetId="4" hidden="1">1</definedName>
    <definedName name="solver_itr" localSheetId="4" hidden="1">100</definedName>
    <definedName name="solver_lin" localSheetId="4" hidden="1">2</definedName>
    <definedName name="solver_neg" localSheetId="4" hidden="1">2</definedName>
    <definedName name="solver_num" localSheetId="4" hidden="1">0</definedName>
    <definedName name="solver_nwt" localSheetId="4" hidden="1">1</definedName>
    <definedName name="solver_opt" localSheetId="4" hidden="1">Debt!$B$2</definedName>
    <definedName name="solver_pre" localSheetId="4" hidden="1">0.000001</definedName>
    <definedName name="solver_scl" localSheetId="4" hidden="1">2</definedName>
    <definedName name="solver_sho" localSheetId="4" hidden="1">2</definedName>
    <definedName name="solver_tim" localSheetId="4" hidden="1">100</definedName>
    <definedName name="solver_tol" localSheetId="4" hidden="1">0.05</definedName>
    <definedName name="solver_typ" localSheetId="4" hidden="1">3</definedName>
    <definedName name="solver_val" localSheetId="4" hidden="1">0</definedName>
    <definedName name="StartMWh" localSheetId="6">'[1]Consol Summary'!#REF!</definedName>
    <definedName name="Tax_Depreciation" localSheetId="8">Gleason!#REF!</definedName>
    <definedName name="Tax_Depreciation" localSheetId="9">Wheatland!#REF!</definedName>
    <definedName name="Taxable_Income" localSheetId="8">Gleason!#REF!</definedName>
    <definedName name="Taxable_Income" localSheetId="9">Wheatland!#REF!</definedName>
    <definedName name="Variable" localSheetId="6">[3]Assumptions!#REF!</definedName>
    <definedName name="WaterTreatmentVar" localSheetId="6">[3]Assumptions!#REF!</definedName>
    <definedName name="wrn.test1." localSheetId="6" hidden="1">{"Income Statement",#N/A,FALSE,"CFMODEL";"Balance Sheet",#N/A,FALSE,"CFMODEL"}</definedName>
    <definedName name="wrn.test1." hidden="1">{"Income Statement",#N/A,FALSE,"CFMODEL";"Balance Sheet",#N/A,FALSE,"CFMODEL"}</definedName>
    <definedName name="wrn.test2." localSheetId="6" hidden="1">{"SourcesUses",#N/A,TRUE,"CFMODEL";"TransOverview",#N/A,TRUE,"CFMODEL"}</definedName>
    <definedName name="wrn.test2." hidden="1">{"SourcesUses",#N/A,TRUE,"CFMODEL";"TransOverview",#N/A,TRUE,"CFMODEL"}</definedName>
    <definedName name="wrn.test3." localSheetId="6" hidden="1">{"SourcesUses",#N/A,TRUE,#N/A;"TransOverview",#N/A,TRUE,"CFMODEL"}</definedName>
    <definedName name="wrn.test3." hidden="1">{"SourcesUses",#N/A,TRUE,#N/A;"TransOverview",#N/A,TRUE,"CFMODEL"}</definedName>
    <definedName name="wrn.test4." localSheetId="6" hidden="1">{"SourcesUses",#N/A,TRUE,"FundsFlow";"TransOverview",#N/A,TRUE,"FundsFlow"}</definedName>
    <definedName name="wrn.test4." hidden="1">{"SourcesUses",#N/A,TRUE,"FundsFlow";"TransOverview",#N/A,TRUE,"FundsFlow"}</definedName>
    <definedName name="Yuma_Distributable_Cash" localSheetId="8">Gleason!#REF!</definedName>
    <definedName name="Yuma_Distributable_Cash" localSheetId="9">Wheatland!#REF!</definedName>
    <definedName name="Yuma_Net_ATCash" localSheetId="8">Gleason!#REF!</definedName>
    <definedName name="Yuma_Net_ATCash" localSheetId="9">Wheatland!#REF!</definedName>
    <definedName name="Yuma_Net_Income" localSheetId="8">Gleason!#REF!</definedName>
    <definedName name="Yuma_Net_Income" localSheetId="9">Wheatland!#REF!</definedName>
    <definedName name="zinc" localSheetId="8">Gleason!$X$14</definedName>
    <definedName name="zinc" localSheetId="9">Wheatland!$X$11</definedName>
    <definedName name="Zinc_Distributable_Cash" localSheetId="8">Gleason!#REF!</definedName>
    <definedName name="Zinc_Distributable_Cash" localSheetId="9">Wheatland!$D$99:$U$99</definedName>
    <definedName name="Zinc_Net_ATCash" localSheetId="8">Gleason!#REF!</definedName>
    <definedName name="Zinc_Net_ATCash" localSheetId="9">Wheatland!$D$100:$U$100</definedName>
    <definedName name="Zinc_Net_Income" localSheetId="8">Gleason!#REF!</definedName>
    <definedName name="Zinc_Net_Income" localSheetId="9">Wheatland!$D$98:$U$98</definedName>
  </definedNames>
  <calcPr calcId="0"/>
</workbook>
</file>

<file path=xl/calcChain.xml><?xml version="1.0" encoding="utf-8"?>
<calcChain xmlns="http://schemas.openxmlformats.org/spreadsheetml/2006/main">
  <c r="C10" i="16" l="1"/>
  <c r="E10" i="16"/>
  <c r="G8" i="23"/>
  <c r="G9" i="23"/>
  <c r="G10" i="23"/>
  <c r="G11" i="23"/>
  <c r="D16" i="23"/>
  <c r="E16" i="23"/>
  <c r="C17" i="23"/>
  <c r="D17" i="23"/>
  <c r="E17" i="23"/>
  <c r="C18" i="23"/>
  <c r="D18" i="23"/>
  <c r="E18" i="23"/>
  <c r="D25" i="23"/>
  <c r="E25" i="23"/>
  <c r="C29" i="23"/>
  <c r="D29" i="23"/>
  <c r="E29" i="23"/>
  <c r="C30" i="23"/>
  <c r="D30" i="23"/>
  <c r="E30" i="23"/>
  <c r="C32" i="23"/>
  <c r="D32" i="23"/>
  <c r="E32" i="23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B8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B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V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B33" i="5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B11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W14" i="22"/>
  <c r="X14" i="22"/>
  <c r="B17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B19" i="22"/>
  <c r="C19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B20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B21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B24" i="22"/>
  <c r="C24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B26" i="22"/>
  <c r="C26" i="22"/>
  <c r="D26" i="22"/>
  <c r="E26" i="22"/>
  <c r="F26" i="22"/>
  <c r="G26" i="22"/>
  <c r="H26" i="22"/>
  <c r="I26" i="22"/>
  <c r="J26" i="22"/>
  <c r="K26" i="22"/>
  <c r="L26" i="22"/>
  <c r="M26" i="22"/>
  <c r="N26" i="22"/>
  <c r="O26" i="22"/>
  <c r="P26" i="22"/>
  <c r="Q26" i="22"/>
  <c r="R26" i="22"/>
  <c r="S26" i="22"/>
  <c r="T26" i="22"/>
  <c r="U26" i="22"/>
  <c r="B27" i="22"/>
  <c r="C27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B28" i="22"/>
  <c r="C28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B31" i="22"/>
  <c r="C32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C33" i="22"/>
  <c r="D33" i="22"/>
  <c r="E33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B34" i="22"/>
  <c r="C34" i="22"/>
  <c r="D34" i="22"/>
  <c r="E34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W34" i="22"/>
  <c r="X34" i="22"/>
  <c r="B37" i="22"/>
  <c r="C37" i="22"/>
  <c r="D37" i="22"/>
  <c r="E37" i="22"/>
  <c r="F37" i="22"/>
  <c r="G37" i="22"/>
  <c r="H37" i="22"/>
  <c r="I37" i="22"/>
  <c r="J37" i="22"/>
  <c r="K37" i="22"/>
  <c r="L37" i="22"/>
  <c r="M37" i="22"/>
  <c r="N37" i="22"/>
  <c r="O37" i="22"/>
  <c r="P37" i="22"/>
  <c r="Q37" i="22"/>
  <c r="R37" i="22"/>
  <c r="S37" i="22"/>
  <c r="T37" i="22"/>
  <c r="U37" i="22"/>
  <c r="B39" i="22"/>
  <c r="C39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B40" i="22"/>
  <c r="C40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B41" i="22"/>
  <c r="C41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B44" i="22"/>
  <c r="C44" i="22"/>
  <c r="D44" i="22"/>
  <c r="E44" i="22"/>
  <c r="F44" i="22"/>
  <c r="G44" i="22"/>
  <c r="H44" i="22"/>
  <c r="I44" i="22"/>
  <c r="J44" i="22"/>
  <c r="K44" i="22"/>
  <c r="L44" i="22"/>
  <c r="M44" i="22"/>
  <c r="N44" i="22"/>
  <c r="O44" i="22"/>
  <c r="P44" i="22"/>
  <c r="Q44" i="22"/>
  <c r="R44" i="22"/>
  <c r="S44" i="22"/>
  <c r="T44" i="22"/>
  <c r="U44" i="22"/>
  <c r="B46" i="22"/>
  <c r="C46" i="22"/>
  <c r="D46" i="22"/>
  <c r="E46" i="22"/>
  <c r="F46" i="22"/>
  <c r="G46" i="22"/>
  <c r="H46" i="22"/>
  <c r="I46" i="22"/>
  <c r="J46" i="22"/>
  <c r="K46" i="22"/>
  <c r="L46" i="22"/>
  <c r="M46" i="22"/>
  <c r="N46" i="22"/>
  <c r="O46" i="22"/>
  <c r="P46" i="22"/>
  <c r="Q46" i="22"/>
  <c r="R46" i="22"/>
  <c r="S46" i="22"/>
  <c r="T46" i="22"/>
  <c r="U46" i="22"/>
  <c r="B47" i="22"/>
  <c r="C47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T47" i="22"/>
  <c r="U47" i="22"/>
  <c r="B48" i="22"/>
  <c r="C48" i="22"/>
  <c r="D48" i="22"/>
  <c r="E48" i="22"/>
  <c r="F48" i="22"/>
  <c r="G48" i="22"/>
  <c r="H48" i="22"/>
  <c r="I48" i="22"/>
  <c r="J48" i="22"/>
  <c r="K48" i="22"/>
  <c r="L48" i="22"/>
  <c r="M48" i="22"/>
  <c r="N48" i="22"/>
  <c r="O48" i="22"/>
  <c r="P48" i="22"/>
  <c r="Q48" i="22"/>
  <c r="R48" i="22"/>
  <c r="S48" i="22"/>
  <c r="T48" i="22"/>
  <c r="U48" i="22"/>
  <c r="B51" i="22"/>
  <c r="C52" i="22"/>
  <c r="D52" i="22"/>
  <c r="E52" i="22"/>
  <c r="F52" i="22"/>
  <c r="G52" i="22"/>
  <c r="H52" i="22"/>
  <c r="I52" i="22"/>
  <c r="J52" i="22"/>
  <c r="K52" i="22"/>
  <c r="L52" i="22"/>
  <c r="M52" i="22"/>
  <c r="N52" i="22"/>
  <c r="O52" i="22"/>
  <c r="P52" i="22"/>
  <c r="Q52" i="22"/>
  <c r="R52" i="22"/>
  <c r="S52" i="22"/>
  <c r="T52" i="22"/>
  <c r="U52" i="22"/>
  <c r="C53" i="22"/>
  <c r="D53" i="22"/>
  <c r="E53" i="22"/>
  <c r="F53" i="22"/>
  <c r="G53" i="22"/>
  <c r="H53" i="22"/>
  <c r="I53" i="22"/>
  <c r="J53" i="22"/>
  <c r="K53" i="22"/>
  <c r="L53" i="22"/>
  <c r="M53" i="22"/>
  <c r="N53" i="22"/>
  <c r="O53" i="22"/>
  <c r="P53" i="22"/>
  <c r="Q53" i="22"/>
  <c r="R53" i="22"/>
  <c r="S53" i="22"/>
  <c r="T53" i="22"/>
  <c r="U53" i="22"/>
  <c r="B54" i="22"/>
  <c r="C54" i="22"/>
  <c r="D54" i="22"/>
  <c r="E54" i="22"/>
  <c r="F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S54" i="22"/>
  <c r="T54" i="22"/>
  <c r="U54" i="22"/>
  <c r="W54" i="22"/>
  <c r="X54" i="22"/>
  <c r="B57" i="22"/>
  <c r="C57" i="22"/>
  <c r="D57" i="22"/>
  <c r="E57" i="22"/>
  <c r="F57" i="22"/>
  <c r="G57" i="22"/>
  <c r="H57" i="22"/>
  <c r="I57" i="22"/>
  <c r="J57" i="22"/>
  <c r="K57" i="22"/>
  <c r="L57" i="22"/>
  <c r="M57" i="22"/>
  <c r="N57" i="22"/>
  <c r="O57" i="22"/>
  <c r="P57" i="22"/>
  <c r="Q57" i="22"/>
  <c r="R57" i="22"/>
  <c r="S57" i="22"/>
  <c r="T57" i="22"/>
  <c r="U57" i="22"/>
  <c r="B59" i="22"/>
  <c r="C59" i="22"/>
  <c r="D59" i="22"/>
  <c r="E59" i="22"/>
  <c r="F59" i="22"/>
  <c r="G59" i="22"/>
  <c r="H59" i="22"/>
  <c r="I59" i="22"/>
  <c r="J59" i="22"/>
  <c r="K59" i="22"/>
  <c r="L59" i="22"/>
  <c r="M59" i="22"/>
  <c r="N59" i="22"/>
  <c r="O59" i="22"/>
  <c r="P59" i="22"/>
  <c r="Q59" i="22"/>
  <c r="R59" i="22"/>
  <c r="S59" i="22"/>
  <c r="T59" i="22"/>
  <c r="U59" i="22"/>
  <c r="B60" i="22"/>
  <c r="C60" i="22"/>
  <c r="D60" i="22"/>
  <c r="E60" i="22"/>
  <c r="F60" i="22"/>
  <c r="G60" i="22"/>
  <c r="H60" i="22"/>
  <c r="I60" i="22"/>
  <c r="J60" i="22"/>
  <c r="K60" i="22"/>
  <c r="L60" i="22"/>
  <c r="M60" i="22"/>
  <c r="N60" i="22"/>
  <c r="O60" i="22"/>
  <c r="P60" i="22"/>
  <c r="Q60" i="22"/>
  <c r="R60" i="22"/>
  <c r="S60" i="22"/>
  <c r="T60" i="22"/>
  <c r="U60" i="22"/>
  <c r="B61" i="22"/>
  <c r="C61" i="22"/>
  <c r="D61" i="22"/>
  <c r="E61" i="22"/>
  <c r="F61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T61" i="22"/>
  <c r="U61" i="22"/>
  <c r="B64" i="22"/>
  <c r="C64" i="22"/>
  <c r="D64" i="22"/>
  <c r="E64" i="22"/>
  <c r="F64" i="22"/>
  <c r="G64" i="22"/>
  <c r="H64" i="22"/>
  <c r="I64" i="22"/>
  <c r="J64" i="22"/>
  <c r="K64" i="22"/>
  <c r="L64" i="22"/>
  <c r="M64" i="22"/>
  <c r="N64" i="22"/>
  <c r="O64" i="22"/>
  <c r="P64" i="22"/>
  <c r="Q64" i="22"/>
  <c r="R64" i="22"/>
  <c r="S64" i="22"/>
  <c r="T64" i="22"/>
  <c r="U64" i="22"/>
  <c r="B66" i="22"/>
  <c r="C66" i="22"/>
  <c r="D66" i="22"/>
  <c r="E66" i="22"/>
  <c r="F66" i="22"/>
  <c r="G66" i="22"/>
  <c r="H66" i="22"/>
  <c r="I66" i="22"/>
  <c r="J66" i="22"/>
  <c r="K66" i="22"/>
  <c r="L66" i="22"/>
  <c r="M66" i="22"/>
  <c r="N66" i="22"/>
  <c r="O66" i="22"/>
  <c r="P66" i="22"/>
  <c r="Q66" i="22"/>
  <c r="R66" i="22"/>
  <c r="S66" i="22"/>
  <c r="T66" i="22"/>
  <c r="U66" i="22"/>
  <c r="B67" i="22"/>
  <c r="C67" i="22"/>
  <c r="D67" i="22"/>
  <c r="E67" i="22"/>
  <c r="F67" i="22"/>
  <c r="G67" i="22"/>
  <c r="H67" i="22"/>
  <c r="I67" i="22"/>
  <c r="J67" i="22"/>
  <c r="K67" i="22"/>
  <c r="L67" i="22"/>
  <c r="M67" i="22"/>
  <c r="N67" i="22"/>
  <c r="O67" i="22"/>
  <c r="P67" i="22"/>
  <c r="Q67" i="22"/>
  <c r="R67" i="22"/>
  <c r="S67" i="22"/>
  <c r="T67" i="22"/>
  <c r="U67" i="22"/>
  <c r="B68" i="22"/>
  <c r="C68" i="22"/>
  <c r="D68" i="22"/>
  <c r="E68" i="22"/>
  <c r="F68" i="22"/>
  <c r="G68" i="22"/>
  <c r="H68" i="22"/>
  <c r="I68" i="22"/>
  <c r="J68" i="22"/>
  <c r="K68" i="22"/>
  <c r="L68" i="22"/>
  <c r="M68" i="22"/>
  <c r="N68" i="22"/>
  <c r="O68" i="22"/>
  <c r="P68" i="22"/>
  <c r="Q68" i="22"/>
  <c r="R68" i="22"/>
  <c r="S68" i="22"/>
  <c r="T68" i="22"/>
  <c r="U68" i="22"/>
  <c r="B72" i="22"/>
  <c r="C72" i="22"/>
  <c r="D72" i="22"/>
  <c r="E72" i="22"/>
  <c r="F72" i="22"/>
  <c r="G72" i="22"/>
  <c r="H72" i="22"/>
  <c r="I72" i="22"/>
  <c r="J72" i="22"/>
  <c r="K72" i="22"/>
  <c r="L72" i="22"/>
  <c r="M72" i="22"/>
  <c r="N72" i="22"/>
  <c r="O72" i="22"/>
  <c r="P72" i="22"/>
  <c r="Q72" i="22"/>
  <c r="R72" i="22"/>
  <c r="S72" i="22"/>
  <c r="T72" i="22"/>
  <c r="U72" i="22"/>
  <c r="B73" i="22"/>
  <c r="C73" i="22"/>
  <c r="D73" i="22"/>
  <c r="E73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B75" i="22"/>
  <c r="C75" i="22"/>
  <c r="D75" i="22"/>
  <c r="E75" i="22"/>
  <c r="F75" i="22"/>
  <c r="G75" i="22"/>
  <c r="H75" i="22"/>
  <c r="I75" i="22"/>
  <c r="J75" i="22"/>
  <c r="K75" i="22"/>
  <c r="L75" i="22"/>
  <c r="M75" i="22"/>
  <c r="N75" i="22"/>
  <c r="O75" i="22"/>
  <c r="P75" i="22"/>
  <c r="Q75" i="22"/>
  <c r="R75" i="22"/>
  <c r="S75" i="22"/>
  <c r="T75" i="22"/>
  <c r="U75" i="22"/>
  <c r="B76" i="22"/>
  <c r="C76" i="22"/>
  <c r="D76" i="22"/>
  <c r="E76" i="22"/>
  <c r="F76" i="22"/>
  <c r="G76" i="22"/>
  <c r="H76" i="22"/>
  <c r="I76" i="22"/>
  <c r="J76" i="22"/>
  <c r="K76" i="22"/>
  <c r="L76" i="22"/>
  <c r="M76" i="22"/>
  <c r="N76" i="22"/>
  <c r="O76" i="22"/>
  <c r="P76" i="22"/>
  <c r="Q76" i="22"/>
  <c r="R76" i="22"/>
  <c r="S76" i="22"/>
  <c r="T76" i="22"/>
  <c r="U76" i="22"/>
  <c r="B77" i="22"/>
  <c r="C77" i="22"/>
  <c r="D77" i="22"/>
  <c r="E77" i="22"/>
  <c r="F77" i="22"/>
  <c r="G77" i="22"/>
  <c r="H77" i="22"/>
  <c r="I77" i="22"/>
  <c r="J77" i="22"/>
  <c r="K77" i="22"/>
  <c r="L77" i="22"/>
  <c r="M77" i="22"/>
  <c r="N77" i="22"/>
  <c r="O77" i="22"/>
  <c r="P77" i="22"/>
  <c r="Q77" i="22"/>
  <c r="R77" i="22"/>
  <c r="S77" i="22"/>
  <c r="T77" i="22"/>
  <c r="U77" i="22"/>
  <c r="B79" i="22"/>
  <c r="C79" i="22"/>
  <c r="D79" i="22"/>
  <c r="E79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D84" i="22"/>
  <c r="D85" i="22"/>
  <c r="B91" i="22"/>
  <c r="C91" i="22"/>
  <c r="D91" i="22"/>
  <c r="E91" i="22"/>
  <c r="F91" i="22"/>
  <c r="G91" i="22"/>
  <c r="H91" i="22"/>
  <c r="I91" i="22"/>
  <c r="J91" i="22"/>
  <c r="K91" i="22"/>
  <c r="L91" i="22"/>
  <c r="M91" i="22"/>
  <c r="N91" i="22"/>
  <c r="O91" i="22"/>
  <c r="P91" i="22"/>
  <c r="Q91" i="22"/>
  <c r="R91" i="22"/>
  <c r="S91" i="22"/>
  <c r="T91" i="22"/>
  <c r="U91" i="22"/>
  <c r="E95" i="22"/>
  <c r="J95" i="22"/>
  <c r="O95" i="22"/>
  <c r="E96" i="22"/>
  <c r="J96" i="22"/>
  <c r="O96" i="22"/>
  <c r="E97" i="22"/>
  <c r="J97" i="22"/>
  <c r="O97" i="22"/>
  <c r="E98" i="22"/>
  <c r="J98" i="22"/>
  <c r="O98" i="22"/>
  <c r="E99" i="22"/>
  <c r="J99" i="22"/>
  <c r="O99" i="22"/>
  <c r="E100" i="22"/>
  <c r="J100" i="22"/>
  <c r="O100" i="22"/>
  <c r="B105" i="22"/>
  <c r="C105" i="22"/>
  <c r="D105" i="22"/>
  <c r="E105" i="22"/>
  <c r="F105" i="22"/>
  <c r="G105" i="22"/>
  <c r="H105" i="22"/>
  <c r="I105" i="22"/>
  <c r="J105" i="22"/>
  <c r="K105" i="22"/>
  <c r="L105" i="22"/>
  <c r="M105" i="22"/>
  <c r="N105" i="22"/>
  <c r="O105" i="22"/>
  <c r="P105" i="22"/>
  <c r="Q105" i="22"/>
  <c r="R105" i="22"/>
  <c r="S105" i="22"/>
  <c r="T105" i="22"/>
  <c r="U105" i="22"/>
  <c r="B106" i="22"/>
  <c r="C106" i="22"/>
  <c r="D106" i="22"/>
  <c r="E106" i="22"/>
  <c r="F106" i="22"/>
  <c r="G106" i="22"/>
  <c r="H106" i="22"/>
  <c r="I106" i="22"/>
  <c r="J106" i="22"/>
  <c r="K106" i="22"/>
  <c r="L106" i="22"/>
  <c r="M106" i="22"/>
  <c r="N106" i="22"/>
  <c r="O106" i="22"/>
  <c r="P106" i="22"/>
  <c r="Q106" i="22"/>
  <c r="R106" i="22"/>
  <c r="S106" i="22"/>
  <c r="T106" i="22"/>
  <c r="U106" i="22"/>
  <c r="B109" i="22"/>
  <c r="B110" i="22"/>
  <c r="B111" i="22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B20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B21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B22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V26" i="20"/>
  <c r="B28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B29" i="20"/>
  <c r="C29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B30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V30" i="20"/>
  <c r="B33" i="20"/>
  <c r="C33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B34" i="20"/>
  <c r="C34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B35" i="20"/>
  <c r="C35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Y38" i="20"/>
  <c r="B43" i="20"/>
  <c r="C43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V43" i="20"/>
  <c r="B44" i="20"/>
  <c r="C44" i="20"/>
  <c r="D44" i="20"/>
  <c r="E44" i="20"/>
  <c r="F44" i="20"/>
  <c r="G44" i="20"/>
  <c r="H44" i="20"/>
  <c r="I44" i="20"/>
  <c r="J44" i="20"/>
  <c r="K44" i="20"/>
  <c r="L44" i="20"/>
  <c r="M44" i="20"/>
  <c r="N44" i="20"/>
  <c r="O44" i="20"/>
  <c r="P44" i="20"/>
  <c r="Q44" i="20"/>
  <c r="R44" i="20"/>
  <c r="B45" i="20"/>
  <c r="C45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B46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T46" i="20"/>
  <c r="U46" i="20"/>
  <c r="V46" i="20"/>
  <c r="B49" i="20"/>
  <c r="C49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B50" i="20"/>
  <c r="C50" i="20"/>
  <c r="D50" i="20"/>
  <c r="E50" i="20"/>
  <c r="F50" i="20"/>
  <c r="G50" i="20"/>
  <c r="H50" i="20"/>
  <c r="I50" i="20"/>
  <c r="J50" i="20"/>
  <c r="K50" i="20"/>
  <c r="L50" i="20"/>
  <c r="M50" i="20"/>
  <c r="N50" i="20"/>
  <c r="O50" i="20"/>
  <c r="P50" i="20"/>
  <c r="Q50" i="20"/>
  <c r="R50" i="20"/>
  <c r="B51" i="20"/>
  <c r="C51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B52" i="20"/>
  <c r="C52" i="20"/>
  <c r="D52" i="20"/>
  <c r="E52" i="20"/>
  <c r="F52" i="20"/>
  <c r="G52" i="20"/>
  <c r="H52" i="20"/>
  <c r="I52" i="20"/>
  <c r="J52" i="20"/>
  <c r="K52" i="20"/>
  <c r="L52" i="20"/>
  <c r="M52" i="20"/>
  <c r="N52" i="20"/>
  <c r="O52" i="20"/>
  <c r="P52" i="20"/>
  <c r="Q52" i="20"/>
  <c r="R52" i="20"/>
  <c r="S52" i="20"/>
  <c r="T52" i="20"/>
  <c r="U52" i="20"/>
  <c r="V52" i="20"/>
  <c r="B55" i="20"/>
  <c r="C55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Q55" i="20"/>
  <c r="R55" i="20"/>
  <c r="S55" i="20"/>
  <c r="T55" i="20"/>
  <c r="U55" i="20"/>
  <c r="V55" i="20"/>
  <c r="B56" i="20"/>
  <c r="C56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Q56" i="20"/>
  <c r="R56" i="20"/>
  <c r="B57" i="20"/>
  <c r="C57" i="20"/>
  <c r="D57" i="20"/>
  <c r="E57" i="20"/>
  <c r="F57" i="20"/>
  <c r="G57" i="20"/>
  <c r="H57" i="20"/>
  <c r="I57" i="20"/>
  <c r="J57" i="20"/>
  <c r="K57" i="20"/>
  <c r="L57" i="20"/>
  <c r="M57" i="20"/>
  <c r="N57" i="20"/>
  <c r="O57" i="20"/>
  <c r="P57" i="20"/>
  <c r="Q57" i="20"/>
  <c r="R57" i="20"/>
  <c r="S57" i="20"/>
  <c r="T57" i="20"/>
  <c r="U57" i="20"/>
  <c r="V57" i="20"/>
  <c r="B58" i="20"/>
  <c r="C58" i="20"/>
  <c r="D58" i="20"/>
  <c r="E58" i="20"/>
  <c r="F58" i="20"/>
  <c r="G58" i="20"/>
  <c r="H58" i="20"/>
  <c r="I58" i="20"/>
  <c r="J58" i="20"/>
  <c r="K58" i="20"/>
  <c r="L58" i="20"/>
  <c r="M58" i="20"/>
  <c r="N58" i="20"/>
  <c r="O58" i="20"/>
  <c r="P58" i="20"/>
  <c r="Q58" i="20"/>
  <c r="R58" i="20"/>
  <c r="S58" i="20"/>
  <c r="T58" i="20"/>
  <c r="U58" i="20"/>
  <c r="V58" i="20"/>
  <c r="B61" i="20"/>
  <c r="C61" i="20"/>
  <c r="D61" i="20"/>
  <c r="E61" i="20"/>
  <c r="F61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T61" i="20"/>
  <c r="U61" i="20"/>
  <c r="V61" i="20"/>
  <c r="B62" i="20"/>
  <c r="C62" i="20"/>
  <c r="D62" i="20"/>
  <c r="E62" i="20"/>
  <c r="F62" i="20"/>
  <c r="G62" i="20"/>
  <c r="H62" i="20"/>
  <c r="I62" i="20"/>
  <c r="J62" i="20"/>
  <c r="K62" i="20"/>
  <c r="L62" i="20"/>
  <c r="M62" i="20"/>
  <c r="N62" i="20"/>
  <c r="O62" i="20"/>
  <c r="P62" i="20"/>
  <c r="Q62" i="20"/>
  <c r="R62" i="20"/>
  <c r="S62" i="20"/>
  <c r="T62" i="20"/>
  <c r="U62" i="20"/>
  <c r="V62" i="20"/>
  <c r="B63" i="20"/>
  <c r="C63" i="20"/>
  <c r="D63" i="20"/>
  <c r="E63" i="20"/>
  <c r="F63" i="20"/>
  <c r="G63" i="20"/>
  <c r="H63" i="20"/>
  <c r="I63" i="20"/>
  <c r="J63" i="20"/>
  <c r="K63" i="20"/>
  <c r="L63" i="20"/>
  <c r="M63" i="20"/>
  <c r="N63" i="20"/>
  <c r="O63" i="20"/>
  <c r="P63" i="20"/>
  <c r="Q63" i="20"/>
  <c r="R63" i="20"/>
  <c r="S63" i="20"/>
  <c r="T63" i="20"/>
  <c r="U63" i="20"/>
  <c r="V63" i="20"/>
  <c r="B67" i="20"/>
  <c r="C67" i="20"/>
  <c r="D67" i="20"/>
  <c r="E67" i="20"/>
  <c r="F67" i="20"/>
  <c r="G67" i="20"/>
  <c r="H67" i="20"/>
  <c r="I67" i="20"/>
  <c r="J67" i="20"/>
  <c r="K67" i="20"/>
  <c r="L67" i="20"/>
  <c r="M67" i="20"/>
  <c r="N67" i="20"/>
  <c r="O67" i="20"/>
  <c r="P67" i="20"/>
  <c r="Q67" i="20"/>
  <c r="R67" i="20"/>
  <c r="S67" i="20"/>
  <c r="T67" i="20"/>
  <c r="U67" i="20"/>
  <c r="V67" i="20"/>
  <c r="C68" i="20"/>
  <c r="D68" i="20"/>
  <c r="E68" i="20"/>
  <c r="F68" i="20"/>
  <c r="G68" i="20"/>
  <c r="H68" i="20"/>
  <c r="I68" i="20"/>
  <c r="J68" i="20"/>
  <c r="K68" i="20"/>
  <c r="L68" i="20"/>
  <c r="M68" i="20"/>
  <c r="N68" i="20"/>
  <c r="O68" i="20"/>
  <c r="P68" i="20"/>
  <c r="Q68" i="20"/>
  <c r="R68" i="20"/>
  <c r="S68" i="20"/>
  <c r="T68" i="20"/>
  <c r="U68" i="20"/>
  <c r="V68" i="20"/>
  <c r="B69" i="20"/>
  <c r="C69" i="20"/>
  <c r="D69" i="20"/>
  <c r="E69" i="20"/>
  <c r="F69" i="20"/>
  <c r="G69" i="20"/>
  <c r="H69" i="20"/>
  <c r="I69" i="20"/>
  <c r="J69" i="20"/>
  <c r="K69" i="20"/>
  <c r="L69" i="20"/>
  <c r="M69" i="20"/>
  <c r="N69" i="20"/>
  <c r="O69" i="20"/>
  <c r="P69" i="20"/>
  <c r="Q69" i="20"/>
  <c r="R69" i="20"/>
  <c r="S69" i="20"/>
  <c r="T69" i="20"/>
  <c r="U69" i="20"/>
  <c r="V69" i="20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W9" i="12"/>
  <c r="Z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W10" i="12"/>
  <c r="W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W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W13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W16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W17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W18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W19" i="12"/>
  <c r="W20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W21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W22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W25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W27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W29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W31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W33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W35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W36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W38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W48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W49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W50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W51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W53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W55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W56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U58" i="12"/>
  <c r="W58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W70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U71" i="12"/>
  <c r="W71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U72" i="12"/>
  <c r="W72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U73" i="12"/>
  <c r="W73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U74" i="12"/>
  <c r="W74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U76" i="12"/>
  <c r="W76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U77" i="12"/>
  <c r="W78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U83" i="12"/>
  <c r="W83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U84" i="12"/>
  <c r="W84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U85" i="12"/>
  <c r="W85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U86" i="12"/>
  <c r="W86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U88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U89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S91" i="12"/>
  <c r="T91" i="12"/>
  <c r="U91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U92" i="12"/>
  <c r="T93" i="12"/>
  <c r="U93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U94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U95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U97" i="12"/>
  <c r="W97" i="12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W11" i="4"/>
  <c r="X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W12" i="4"/>
  <c r="X12" i="4"/>
  <c r="Y12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W14" i="4"/>
  <c r="X14" i="4"/>
  <c r="Y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W15" i="4"/>
  <c r="X15" i="4"/>
  <c r="Y15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W18" i="4"/>
  <c r="X18" i="4"/>
  <c r="Y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W19" i="4"/>
  <c r="X19" i="4"/>
  <c r="Y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W20" i="4"/>
  <c r="X20" i="4"/>
  <c r="Y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W21" i="4"/>
  <c r="X21" i="4"/>
  <c r="Y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W22" i="4"/>
  <c r="X22" i="4"/>
  <c r="Y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W23" i="4"/>
  <c r="X23" i="4"/>
  <c r="Y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W24" i="4"/>
  <c r="X24" i="4"/>
  <c r="Y24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W27" i="4"/>
  <c r="X27" i="4"/>
  <c r="Y27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W29" i="4"/>
  <c r="X29" i="4"/>
  <c r="Y29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W31" i="4"/>
  <c r="X31" i="4"/>
  <c r="Y31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W33" i="4"/>
  <c r="X33" i="4"/>
  <c r="Y33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W35" i="4"/>
  <c r="X35" i="4"/>
  <c r="Y35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W37" i="4"/>
  <c r="X37" i="4"/>
  <c r="Y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W38" i="4"/>
  <c r="X38" i="4"/>
  <c r="Y38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W40" i="4"/>
  <c r="X40" i="4"/>
  <c r="Y40" i="4"/>
  <c r="C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B7" i="2"/>
  <c r="C7" i="2"/>
  <c r="F7" i="2"/>
  <c r="G7" i="2"/>
  <c r="B8" i="2"/>
  <c r="C8" i="2"/>
  <c r="B9" i="2"/>
  <c r="C9" i="2"/>
  <c r="F9" i="2"/>
  <c r="G9" i="2"/>
  <c r="E15" i="2"/>
  <c r="B16" i="2"/>
  <c r="C16" i="2"/>
  <c r="D16" i="2"/>
  <c r="B18" i="2"/>
  <c r="C18" i="2"/>
  <c r="D18" i="2"/>
  <c r="E20" i="2"/>
  <c r="E21" i="2"/>
  <c r="B22" i="2"/>
  <c r="C22" i="2"/>
  <c r="D22" i="2"/>
  <c r="E22" i="2"/>
  <c r="B35" i="2"/>
  <c r="B38" i="2"/>
  <c r="D43" i="2"/>
  <c r="E43" i="2"/>
  <c r="D46" i="2"/>
  <c r="D48" i="2"/>
  <c r="D50" i="2"/>
  <c r="D52" i="2"/>
  <c r="B55" i="2"/>
  <c r="C55" i="2"/>
  <c r="D55" i="2"/>
  <c r="E55" i="2"/>
  <c r="F55" i="2"/>
  <c r="B56" i="2"/>
  <c r="C56" i="2"/>
  <c r="D56" i="2"/>
  <c r="E56" i="2"/>
  <c r="F56" i="2"/>
  <c r="B57" i="2"/>
  <c r="C57" i="2"/>
  <c r="D57" i="2"/>
  <c r="E57" i="2"/>
  <c r="F57" i="2"/>
  <c r="B58" i="2"/>
  <c r="C58" i="2"/>
  <c r="D58" i="2"/>
  <c r="E58" i="2"/>
  <c r="F58" i="2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W8" i="8"/>
  <c r="X8" i="8"/>
  <c r="Y8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W24" i="8"/>
  <c r="X24" i="8"/>
  <c r="Y24" i="8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AL8" i="13"/>
  <c r="AM8" i="13"/>
  <c r="AN8" i="13"/>
  <c r="AO8" i="13"/>
  <c r="AP8" i="13"/>
  <c r="AQ8" i="13"/>
  <c r="AR8" i="13"/>
  <c r="AS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W9" i="13"/>
  <c r="Z9" i="13"/>
  <c r="AA9" i="13"/>
  <c r="AB9" i="13"/>
  <c r="AC9" i="13"/>
  <c r="AD9" i="13"/>
  <c r="AE9" i="13"/>
  <c r="AF9" i="13"/>
  <c r="AG9" i="13"/>
  <c r="AH9" i="13"/>
  <c r="AI9" i="13"/>
  <c r="AJ9" i="13"/>
  <c r="AK9" i="13"/>
  <c r="AL9" i="13"/>
  <c r="AM9" i="13"/>
  <c r="AN9" i="13"/>
  <c r="AO9" i="13"/>
  <c r="AP9" i="13"/>
  <c r="AQ9" i="13"/>
  <c r="AR9" i="13"/>
  <c r="AS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W10" i="13"/>
  <c r="W11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W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W13" i="13"/>
  <c r="B16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W16" i="13"/>
  <c r="B17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W17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W18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W19" i="13"/>
  <c r="W20" i="13"/>
  <c r="W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W22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W25" i="13"/>
  <c r="B27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W27" i="13"/>
  <c r="B29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W29" i="13"/>
  <c r="B31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W31" i="13"/>
  <c r="B33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W33" i="13"/>
  <c r="B35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W35" i="13"/>
  <c r="B36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W36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W38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B48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W48" i="13"/>
  <c r="B49" i="13"/>
  <c r="C49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W49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W50" i="13"/>
  <c r="B51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W51" i="13"/>
  <c r="B53" i="13"/>
  <c r="C53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W53" i="13"/>
  <c r="B55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W55" i="13"/>
  <c r="B56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W56" i="13"/>
  <c r="B58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W58" i="13"/>
  <c r="B70" i="13"/>
  <c r="C70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B71" i="13"/>
  <c r="C71" i="13"/>
  <c r="D71" i="13"/>
  <c r="E71" i="13"/>
  <c r="F71" i="13"/>
  <c r="G71" i="13"/>
  <c r="H71" i="13"/>
  <c r="I71" i="13"/>
  <c r="J71" i="13"/>
  <c r="K71" i="13"/>
  <c r="L71" i="13"/>
  <c r="M71" i="13"/>
  <c r="N71" i="13"/>
  <c r="O71" i="13"/>
  <c r="P71" i="13"/>
  <c r="Q71" i="13"/>
  <c r="R71" i="13"/>
  <c r="S71" i="13"/>
  <c r="T71" i="13"/>
  <c r="U71" i="13"/>
  <c r="B72" i="13"/>
  <c r="C72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B75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B76" i="13"/>
  <c r="C76" i="13"/>
  <c r="D76" i="13"/>
  <c r="E76" i="13"/>
  <c r="F76" i="13"/>
  <c r="G76" i="13"/>
  <c r="H76" i="13"/>
  <c r="I76" i="13"/>
  <c r="J76" i="13"/>
  <c r="K76" i="13"/>
  <c r="L76" i="13"/>
  <c r="M76" i="13"/>
  <c r="N76" i="13"/>
  <c r="O76" i="13"/>
  <c r="P76" i="13"/>
  <c r="Q76" i="13"/>
  <c r="R76" i="13"/>
  <c r="S76" i="13"/>
  <c r="T76" i="13"/>
  <c r="U76" i="13"/>
  <c r="B77" i="13"/>
  <c r="C77" i="13"/>
  <c r="D77" i="13"/>
  <c r="E77" i="13"/>
  <c r="F77" i="13"/>
  <c r="G77" i="13"/>
  <c r="H77" i="13"/>
  <c r="I77" i="13"/>
  <c r="J77" i="13"/>
  <c r="K77" i="13"/>
  <c r="L77" i="13"/>
  <c r="M77" i="13"/>
  <c r="N77" i="13"/>
  <c r="O77" i="13"/>
  <c r="P77" i="13"/>
  <c r="Q77" i="13"/>
  <c r="R77" i="13"/>
  <c r="S77" i="13"/>
  <c r="T77" i="13"/>
  <c r="U77" i="13"/>
  <c r="B79" i="13"/>
  <c r="C79" i="13"/>
  <c r="D79" i="13"/>
  <c r="E79" i="13"/>
  <c r="F79" i="13"/>
  <c r="G79" i="13"/>
  <c r="H79" i="13"/>
  <c r="I79" i="13"/>
  <c r="J79" i="13"/>
  <c r="K79" i="13"/>
  <c r="L79" i="13"/>
  <c r="M79" i="13"/>
  <c r="N79" i="13"/>
  <c r="O79" i="13"/>
  <c r="P79" i="13"/>
  <c r="Q79" i="13"/>
  <c r="R79" i="13"/>
  <c r="S79" i="13"/>
  <c r="T79" i="13"/>
  <c r="U79" i="13"/>
  <c r="B84" i="13"/>
  <c r="C84" i="13"/>
  <c r="D84" i="13"/>
  <c r="E84" i="13"/>
  <c r="F84" i="13"/>
  <c r="G84" i="13"/>
  <c r="H84" i="13"/>
  <c r="I84" i="13"/>
  <c r="J84" i="13"/>
  <c r="K84" i="13"/>
  <c r="L84" i="13"/>
  <c r="M84" i="13"/>
  <c r="N84" i="13"/>
  <c r="O84" i="13"/>
  <c r="P84" i="13"/>
  <c r="Q84" i="13"/>
  <c r="R84" i="13"/>
  <c r="S84" i="13"/>
  <c r="T84" i="13"/>
  <c r="U84" i="13"/>
  <c r="W84" i="13"/>
  <c r="B85" i="13"/>
  <c r="C85" i="13"/>
  <c r="D85" i="13"/>
  <c r="E85" i="13"/>
  <c r="F85" i="13"/>
  <c r="G85" i="13"/>
  <c r="H85" i="13"/>
  <c r="I85" i="13"/>
  <c r="J85" i="13"/>
  <c r="K85" i="13"/>
  <c r="L85" i="13"/>
  <c r="M85" i="13"/>
  <c r="N85" i="13"/>
  <c r="O85" i="13"/>
  <c r="P85" i="13"/>
  <c r="Q85" i="13"/>
  <c r="R85" i="13"/>
  <c r="S85" i="13"/>
  <c r="T85" i="13"/>
  <c r="U85" i="13"/>
  <c r="W85" i="13"/>
  <c r="X85" i="13"/>
  <c r="Y85" i="13"/>
  <c r="Z85" i="13"/>
  <c r="AA85" i="13"/>
  <c r="AB85" i="13"/>
  <c r="AC85" i="13"/>
  <c r="AD85" i="13"/>
  <c r="AE85" i="13"/>
  <c r="AF85" i="13"/>
  <c r="AG85" i="13"/>
  <c r="AH85" i="13"/>
  <c r="AI85" i="13"/>
  <c r="AJ85" i="13"/>
  <c r="AK85" i="13"/>
  <c r="AL85" i="13"/>
  <c r="AM85" i="13"/>
  <c r="AN85" i="13"/>
  <c r="AO85" i="13"/>
  <c r="AP85" i="13"/>
  <c r="AQ85" i="13"/>
  <c r="B86" i="13"/>
  <c r="C86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W86" i="13"/>
  <c r="B87" i="13"/>
  <c r="C87" i="13"/>
  <c r="D87" i="13"/>
  <c r="E87" i="13"/>
  <c r="F87" i="13"/>
  <c r="G87" i="13"/>
  <c r="H87" i="13"/>
  <c r="I87" i="13"/>
  <c r="J87" i="13"/>
  <c r="K87" i="13"/>
  <c r="L87" i="13"/>
  <c r="M87" i="13"/>
  <c r="N87" i="13"/>
  <c r="O87" i="13"/>
  <c r="P87" i="13"/>
  <c r="Q87" i="13"/>
  <c r="R87" i="13"/>
  <c r="S87" i="13"/>
  <c r="T87" i="13"/>
  <c r="U87" i="13"/>
  <c r="W87" i="13"/>
  <c r="B89" i="13"/>
  <c r="C89" i="13"/>
  <c r="D89" i="13"/>
  <c r="E89" i="13"/>
  <c r="F89" i="13"/>
  <c r="G89" i="13"/>
  <c r="H89" i="13"/>
  <c r="I89" i="13"/>
  <c r="J89" i="13"/>
  <c r="K89" i="13"/>
  <c r="L89" i="13"/>
  <c r="M89" i="13"/>
  <c r="N89" i="13"/>
  <c r="O89" i="13"/>
  <c r="P89" i="13"/>
  <c r="Q89" i="13"/>
  <c r="R89" i="13"/>
  <c r="S89" i="13"/>
  <c r="T89" i="13"/>
  <c r="U89" i="13"/>
  <c r="B90" i="13"/>
  <c r="C90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U90" i="13"/>
  <c r="C92" i="13"/>
  <c r="D92" i="13"/>
  <c r="E92" i="13"/>
  <c r="F92" i="13"/>
  <c r="G92" i="13"/>
  <c r="H92" i="13"/>
  <c r="I92" i="13"/>
  <c r="J92" i="13"/>
  <c r="K92" i="13"/>
  <c r="L92" i="13"/>
  <c r="M92" i="13"/>
  <c r="N92" i="13"/>
  <c r="O92" i="13"/>
  <c r="P92" i="13"/>
  <c r="Q92" i="13"/>
  <c r="S92" i="13"/>
  <c r="T92" i="13"/>
  <c r="U92" i="13"/>
  <c r="B93" i="13"/>
  <c r="C93" i="13"/>
  <c r="D93" i="13"/>
  <c r="E93" i="13"/>
  <c r="F93" i="13"/>
  <c r="G93" i="13"/>
  <c r="H93" i="13"/>
  <c r="I93" i="13"/>
  <c r="J93" i="13"/>
  <c r="K93" i="13"/>
  <c r="L93" i="13"/>
  <c r="M93" i="13"/>
  <c r="N93" i="13"/>
  <c r="O93" i="13"/>
  <c r="P93" i="13"/>
  <c r="Q93" i="13"/>
  <c r="R93" i="13"/>
  <c r="S93" i="13"/>
  <c r="T93" i="13"/>
  <c r="U93" i="13"/>
  <c r="T94" i="13"/>
  <c r="U94" i="13"/>
  <c r="B95" i="13"/>
  <c r="C95" i="13"/>
  <c r="D95" i="13"/>
  <c r="E95" i="13"/>
  <c r="F95" i="13"/>
  <c r="G95" i="13"/>
  <c r="H95" i="13"/>
  <c r="I95" i="13"/>
  <c r="J95" i="13"/>
  <c r="K95" i="13"/>
  <c r="L95" i="13"/>
  <c r="M95" i="13"/>
  <c r="N95" i="13"/>
  <c r="O95" i="13"/>
  <c r="P95" i="13"/>
  <c r="Q95" i="13"/>
  <c r="R95" i="13"/>
  <c r="S95" i="13"/>
  <c r="T95" i="13"/>
  <c r="U95" i="13"/>
  <c r="B96" i="13"/>
  <c r="C96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B98" i="13"/>
  <c r="C98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S98" i="13"/>
  <c r="T98" i="13"/>
  <c r="U98" i="13"/>
  <c r="W98" i="13"/>
  <c r="B100" i="13"/>
  <c r="C100" i="13"/>
  <c r="D100" i="13"/>
  <c r="E100" i="13"/>
  <c r="F100" i="13"/>
  <c r="G100" i="13"/>
  <c r="H100" i="13"/>
  <c r="I100" i="13"/>
  <c r="J100" i="13"/>
  <c r="K100" i="13"/>
  <c r="L100" i="13"/>
  <c r="M100" i="13"/>
  <c r="N100" i="13"/>
  <c r="O100" i="13"/>
  <c r="P100" i="13"/>
  <c r="Q100" i="13"/>
  <c r="R100" i="13"/>
  <c r="S100" i="13"/>
  <c r="T100" i="13"/>
  <c r="U100" i="13"/>
  <c r="W100" i="13"/>
  <c r="Y7" i="14"/>
  <c r="Z7" i="14"/>
  <c r="AA7" i="14"/>
  <c r="AB7" i="14"/>
  <c r="AC7" i="14"/>
  <c r="AD7" i="14"/>
  <c r="AE7" i="14"/>
  <c r="AF7" i="14"/>
  <c r="AG7" i="14"/>
  <c r="AH7" i="14"/>
  <c r="AI7" i="14"/>
  <c r="AJ7" i="14"/>
  <c r="AK7" i="14"/>
  <c r="AL7" i="14"/>
  <c r="AM7" i="14"/>
  <c r="AN7" i="14"/>
  <c r="AO7" i="14"/>
  <c r="AP7" i="14"/>
  <c r="AQ7" i="14"/>
  <c r="AR7" i="14"/>
  <c r="AS7" i="14"/>
  <c r="Z8" i="14"/>
  <c r="AA8" i="14"/>
  <c r="AB8" i="14"/>
  <c r="AC8" i="14"/>
  <c r="AD8" i="14"/>
  <c r="AE8" i="14"/>
  <c r="AF8" i="14"/>
  <c r="AG8" i="14"/>
  <c r="AH8" i="14"/>
  <c r="AI8" i="14"/>
  <c r="AJ8" i="14"/>
  <c r="AK8" i="14"/>
  <c r="AL8" i="14"/>
  <c r="AM8" i="14"/>
  <c r="AN8" i="14"/>
  <c r="AO8" i="14"/>
  <c r="AP8" i="14"/>
  <c r="AQ8" i="14"/>
  <c r="AR8" i="14"/>
  <c r="AS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W9" i="14"/>
  <c r="Z9" i="14"/>
  <c r="AA9" i="14"/>
  <c r="AB9" i="14"/>
  <c r="AC9" i="14"/>
  <c r="AD9" i="14"/>
  <c r="AE9" i="14"/>
  <c r="AF9" i="14"/>
  <c r="AG9" i="14"/>
  <c r="AH9" i="14"/>
  <c r="AI9" i="14"/>
  <c r="AJ9" i="14"/>
  <c r="AK9" i="14"/>
  <c r="AL9" i="14"/>
  <c r="AM9" i="14"/>
  <c r="AN9" i="14"/>
  <c r="AO9" i="14"/>
  <c r="AP9" i="14"/>
  <c r="AQ9" i="14"/>
  <c r="AR9" i="14"/>
  <c r="AS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W10" i="14"/>
  <c r="W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W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W13" i="14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W16" i="14"/>
  <c r="B17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W17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W18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W19" i="14"/>
  <c r="W20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W21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W22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W25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W27" i="14"/>
  <c r="B29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W29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W31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W33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W35" i="14"/>
  <c r="B36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W36" i="14"/>
  <c r="B38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W38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B48" i="14"/>
  <c r="C48" i="14"/>
  <c r="D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W48" i="14"/>
  <c r="B49" i="14"/>
  <c r="C49" i="14"/>
  <c r="D49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W49" i="14"/>
  <c r="C50" i="14"/>
  <c r="D50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W50" i="14"/>
  <c r="B51" i="14"/>
  <c r="C51" i="14"/>
  <c r="D51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U51" i="14"/>
  <c r="W51" i="14"/>
  <c r="B53" i="14"/>
  <c r="C53" i="14"/>
  <c r="D53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W53" i="14"/>
  <c r="B55" i="14"/>
  <c r="C55" i="14"/>
  <c r="D55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W55" i="14"/>
  <c r="B56" i="14"/>
  <c r="C56" i="14"/>
  <c r="D56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W56" i="14"/>
  <c r="B58" i="14"/>
  <c r="C58" i="14"/>
  <c r="D58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S58" i="14"/>
  <c r="T58" i="14"/>
  <c r="U58" i="14"/>
  <c r="W58" i="14"/>
  <c r="B70" i="14"/>
  <c r="C70" i="14"/>
  <c r="D70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S70" i="14"/>
  <c r="T70" i="14"/>
  <c r="U70" i="14"/>
  <c r="B71" i="14"/>
  <c r="C71" i="14"/>
  <c r="D71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S71" i="14"/>
  <c r="T71" i="14"/>
  <c r="U71" i="14"/>
  <c r="B72" i="14"/>
  <c r="C72" i="14"/>
  <c r="D72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S72" i="14"/>
  <c r="T72" i="14"/>
  <c r="U72" i="14"/>
  <c r="B77" i="14"/>
  <c r="C77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W77" i="14"/>
  <c r="B78" i="14"/>
  <c r="C78" i="14"/>
  <c r="D78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S78" i="14"/>
  <c r="T78" i="14"/>
  <c r="U78" i="14"/>
  <c r="W78" i="14"/>
  <c r="B79" i="14"/>
  <c r="C79" i="14"/>
  <c r="D79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S79" i="14"/>
  <c r="T79" i="14"/>
  <c r="U79" i="14"/>
  <c r="W79" i="14"/>
  <c r="B80" i="14"/>
  <c r="C80" i="14"/>
  <c r="D80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S80" i="14"/>
  <c r="T80" i="14"/>
  <c r="U80" i="14"/>
  <c r="W80" i="14"/>
  <c r="B82" i="14"/>
  <c r="C82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U82" i="14"/>
  <c r="B83" i="14"/>
  <c r="C83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C85" i="14"/>
  <c r="D85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S85" i="14"/>
  <c r="T85" i="14"/>
  <c r="U85" i="14"/>
  <c r="B86" i="14"/>
  <c r="C86" i="14"/>
  <c r="D86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S86" i="14"/>
  <c r="T86" i="14"/>
  <c r="U86" i="14"/>
  <c r="T87" i="14"/>
  <c r="U87" i="14"/>
  <c r="B88" i="14"/>
  <c r="C88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S88" i="14"/>
  <c r="T88" i="14"/>
  <c r="U88" i="14"/>
  <c r="B89" i="14"/>
  <c r="C89" i="14"/>
  <c r="D89" i="14"/>
  <c r="E89" i="14"/>
  <c r="F89" i="14"/>
  <c r="G89" i="14"/>
  <c r="H89" i="14"/>
  <c r="I89" i="14"/>
  <c r="J89" i="14"/>
  <c r="K89" i="14"/>
  <c r="L89" i="14"/>
  <c r="M89" i="14"/>
  <c r="N89" i="14"/>
  <c r="O89" i="14"/>
  <c r="P89" i="14"/>
  <c r="Q89" i="14"/>
  <c r="R89" i="14"/>
  <c r="S89" i="14"/>
  <c r="T89" i="14"/>
  <c r="U89" i="14"/>
  <c r="B91" i="14"/>
  <c r="C91" i="14"/>
  <c r="D91" i="14"/>
  <c r="E91" i="14"/>
  <c r="F91" i="14"/>
  <c r="G91" i="14"/>
  <c r="H91" i="14"/>
  <c r="I91" i="14"/>
  <c r="J91" i="14"/>
  <c r="K91" i="14"/>
  <c r="L91" i="14"/>
  <c r="M91" i="14"/>
  <c r="N91" i="14"/>
  <c r="O91" i="14"/>
  <c r="P91" i="14"/>
  <c r="Q91" i="14"/>
  <c r="R91" i="14"/>
  <c r="S91" i="14"/>
  <c r="T91" i="14"/>
  <c r="U91" i="14"/>
  <c r="W91" i="14"/>
</calcChain>
</file>

<file path=xl/sharedStrings.xml><?xml version="1.0" encoding="utf-8"?>
<sst xmlns="http://schemas.openxmlformats.org/spreadsheetml/2006/main" count="499" uniqueCount="238">
  <si>
    <t>DSCR</t>
  </si>
  <si>
    <t>SOURCES &amp; USES:</t>
  </si>
  <si>
    <t>TECHNICAL ASSUMPTIONS:</t>
  </si>
  <si>
    <t>2000 PROJECTS</t>
  </si>
  <si>
    <t>Sources of Funds</t>
  </si>
  <si>
    <t>%</t>
  </si>
  <si>
    <t>000 $</t>
  </si>
  <si>
    <t xml:space="preserve">Total Equity </t>
  </si>
  <si>
    <t>Wheatland</t>
  </si>
  <si>
    <t>Wilton</t>
  </si>
  <si>
    <t>Bond Proceeds</t>
  </si>
  <si>
    <t>Total Sources</t>
  </si>
  <si>
    <t>Number of Turbines</t>
  </si>
  <si>
    <t>Tranche 1</t>
  </si>
  <si>
    <t>Tranche 2</t>
  </si>
  <si>
    <t>Tranche 3</t>
  </si>
  <si>
    <t>Total</t>
  </si>
  <si>
    <t>Amount ('000 $)</t>
  </si>
  <si>
    <t>Term (yrs)</t>
  </si>
  <si>
    <t>Final Maturity</t>
  </si>
  <si>
    <t>Average Life (yrs)</t>
  </si>
  <si>
    <t>Spread (%)</t>
  </si>
  <si>
    <t>All In Coupon Rate (%)</t>
  </si>
  <si>
    <t>Interest Income Rate</t>
  </si>
  <si>
    <t>DEPRECIATION ASSUMPTIONS:</t>
  </si>
  <si>
    <t>Initial Basis (000 $)</t>
  </si>
  <si>
    <t>Year</t>
  </si>
  <si>
    <t>Method</t>
  </si>
  <si>
    <t>Residual (%)</t>
  </si>
  <si>
    <t>Federal &amp; State Tax Depreciation</t>
  </si>
  <si>
    <t>MACRS</t>
  </si>
  <si>
    <t>SL</t>
  </si>
  <si>
    <t>TAX ASSUMPTIONS:</t>
  </si>
  <si>
    <t>Book Depreciation</t>
  </si>
  <si>
    <t>Federal Income Tax Rate</t>
  </si>
  <si>
    <t>State Income Tax Rate</t>
  </si>
  <si>
    <t>N/A</t>
  </si>
  <si>
    <t>SUMMARY OUTPUT:</t>
  </si>
  <si>
    <t>OPERATING COSTS ASSUMPTIONS:</t>
  </si>
  <si>
    <t>Min</t>
  </si>
  <si>
    <t>Avg.</t>
  </si>
  <si>
    <t>Fixed O&amp;M</t>
  </si>
  <si>
    <t>Variable O&amp;M</t>
  </si>
  <si>
    <t>TVA Capacity Curves:</t>
  </si>
  <si>
    <t>1998 $</t>
  </si>
  <si>
    <t>Nominal $</t>
  </si>
  <si>
    <t>(for Wilton Center)</t>
  </si>
  <si>
    <t>Southern ECAR Capacity Curves:</t>
  </si>
  <si>
    <t>(for Wheatland)</t>
  </si>
  <si>
    <t>('000 $)</t>
  </si>
  <si>
    <t>Revenue</t>
  </si>
  <si>
    <t>Demand Payment</t>
  </si>
  <si>
    <t xml:space="preserve">Variable Revenue </t>
  </si>
  <si>
    <t>Total Revenue</t>
  </si>
  <si>
    <t>Expense</t>
  </si>
  <si>
    <t>Total Expense</t>
  </si>
  <si>
    <t>EBITDA</t>
  </si>
  <si>
    <t>Depreciation &amp; Amortization</t>
  </si>
  <si>
    <t>EBIT</t>
  </si>
  <si>
    <t>Interest Expense</t>
  </si>
  <si>
    <t>EBT</t>
  </si>
  <si>
    <t>Book State Tax Benefit / (Expense)</t>
  </si>
  <si>
    <t>Shareholder Fed. Tax Benefit / (Expense)</t>
  </si>
  <si>
    <t>Net Income</t>
  </si>
  <si>
    <t>Debt Service</t>
  </si>
  <si>
    <t>Pre Tax Cash Flow</t>
  </si>
  <si>
    <t>After Tax Cash Flow</t>
  </si>
  <si>
    <t>IRR Calculation</t>
  </si>
  <si>
    <t xml:space="preserve">   IRR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</si>
  <si>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</si>
  <si>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</si>
  <si>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</si>
  <si>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</si>
  <si>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</si>
  <si>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</si>
  <si>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15 Year MACRS Table</t>
  </si>
  <si>
    <t>STATE TAXES</t>
  </si>
  <si>
    <t>FEDERAL TAXES</t>
  </si>
  <si>
    <t>INCOME STATEMENT - WHEATLAND</t>
  </si>
  <si>
    <t>CASH FLOW - WHEATLAND</t>
  </si>
  <si>
    <t>Adjusted Gross Income Tax</t>
  </si>
  <si>
    <t>State Gross Receipts Taxes</t>
  </si>
  <si>
    <t>ALLOCATION</t>
  </si>
  <si>
    <t>Project</t>
  </si>
  <si>
    <t>INCOME STATEMENT - WILTON</t>
  </si>
  <si>
    <t>Less Interest Payments</t>
  </si>
  <si>
    <t>Less Principal Payments</t>
  </si>
  <si>
    <t>Average Life</t>
  </si>
  <si>
    <t xml:space="preserve"> State Cash Taxes Benefit (Expense)</t>
  </si>
  <si>
    <t xml:space="preserve"> Federal Cash Taxes Benefit (Expense)</t>
  </si>
  <si>
    <t>ANNUAL CASH FLOW AND IRR</t>
  </si>
  <si>
    <t>Gleason</t>
  </si>
  <si>
    <t>Initial Book Value</t>
  </si>
  <si>
    <t>No. of Months in Operation</t>
  </si>
  <si>
    <t>% Depreciated</t>
  </si>
  <si>
    <t>Beginning Book Value</t>
  </si>
  <si>
    <t>Depreciation</t>
  </si>
  <si>
    <t>Ending Book Value</t>
  </si>
  <si>
    <t>GenCo</t>
  </si>
  <si>
    <t>Owner's Expense</t>
  </si>
  <si>
    <t>Annual Cost (000$ in Year 2000)</t>
  </si>
  <si>
    <t>Annual Escalator</t>
  </si>
  <si>
    <t>Tax Depreciation</t>
  </si>
  <si>
    <t>GENCO DEPRECIATION</t>
  </si>
  <si>
    <t>Project Cost</t>
  </si>
  <si>
    <t>Ending Value</t>
  </si>
  <si>
    <t>Beginning Value</t>
  </si>
  <si>
    <t>Close</t>
  </si>
  <si>
    <t>DEBT ISSUANCE</t>
  </si>
  <si>
    <t>Principal Payments</t>
  </si>
  <si>
    <t>ACTUAL DSCR</t>
  </si>
  <si>
    <t>Treasury (%)</t>
  </si>
  <si>
    <t>Term (years)</t>
  </si>
  <si>
    <t>Average Life (years)</t>
  </si>
  <si>
    <t>Average</t>
  </si>
  <si>
    <t>Minimum</t>
  </si>
  <si>
    <t>Time Factor</t>
  </si>
  <si>
    <t>Total State Taxes Utilizing NOLs</t>
  </si>
  <si>
    <t>State Taxable Income</t>
  </si>
  <si>
    <t>Plus Book Depreciation &amp; Amortization</t>
  </si>
  <si>
    <t>Current State Income Tax Expense (Benefit)</t>
  </si>
  <si>
    <t>Beginning NOL's</t>
  </si>
  <si>
    <t>New NOL's</t>
  </si>
  <si>
    <t>Expired NOL's</t>
  </si>
  <si>
    <t>NOL Utilization</t>
  </si>
  <si>
    <t>Ending NOL's</t>
  </si>
  <si>
    <t>Less: State Taxes</t>
  </si>
  <si>
    <t>Federal Tax Rate</t>
  </si>
  <si>
    <t>Federal Tax Expense/ (Benefit)</t>
  </si>
  <si>
    <t>Debt Closing Date</t>
  </si>
  <si>
    <t>Accrued Interest</t>
  </si>
  <si>
    <t>Salvage Value</t>
  </si>
  <si>
    <t>GenCo Pre-Tax Cashflow (000 $)</t>
  </si>
  <si>
    <t>GenCo After-Tax Cashflow (000 $)</t>
  </si>
  <si>
    <t>GenCo EBITDA (000 $)</t>
  </si>
  <si>
    <t>GenCo Net Income (000 $)</t>
  </si>
  <si>
    <t>INCOME STATEMENT - GLEASON</t>
  </si>
  <si>
    <t>GENCO INCOME STATEMENT</t>
  </si>
  <si>
    <t>GENCO CASH FLOW</t>
  </si>
  <si>
    <t>Annual Generation (MWh)</t>
  </si>
  <si>
    <t>Numbers of Starts</t>
  </si>
  <si>
    <t>FINANCING ASSUMPTIONS:</t>
  </si>
  <si>
    <t>Debt Financing Summary:</t>
  </si>
  <si>
    <t>Equity Financing Summary:</t>
  </si>
  <si>
    <t>Equity Closing Date</t>
  </si>
  <si>
    <t>By Project Cost</t>
  </si>
  <si>
    <t>Check</t>
  </si>
  <si>
    <t>Principal</t>
  </si>
  <si>
    <t>By Cashflow</t>
  </si>
  <si>
    <t>ASSUMPTIONS</t>
  </si>
  <si>
    <t>SUMMARY OUTPUT</t>
  </si>
  <si>
    <t>Total Uses</t>
  </si>
  <si>
    <t>Interest Income</t>
  </si>
  <si>
    <t>Plus Property Tax Liability</t>
  </si>
  <si>
    <t>Less Property Tax Expense</t>
  </si>
  <si>
    <t>GENCO FEDERAL TAXES</t>
  </si>
  <si>
    <t>Adjusted Gross Income Rate</t>
  </si>
  <si>
    <t>State Adjusted Gross Income Tax</t>
  </si>
  <si>
    <t>Gross Receipts Tax Rate</t>
  </si>
  <si>
    <t>Gross Receipts Tax Liability</t>
  </si>
  <si>
    <t>Greater of Adjusted or Gross Receipts</t>
  </si>
  <si>
    <t>Franchise Tax Rate (Year 1)</t>
  </si>
  <si>
    <t>Franchise Tax Rate (Year 2-20)</t>
  </si>
  <si>
    <t>Paid-In-Capital</t>
  </si>
  <si>
    <t>SUPPLEMENTAL TAXES</t>
  </si>
  <si>
    <t>FRANCHISE TAX</t>
  </si>
  <si>
    <t>State Franchise Tax Rate</t>
  </si>
  <si>
    <t>State Franchise Tax Liability</t>
  </si>
  <si>
    <t>Franchise Tax</t>
  </si>
  <si>
    <t>Outstanding Debt</t>
  </si>
  <si>
    <t>Property Taxes Liability</t>
  </si>
  <si>
    <t>STATE TAX &amp; FRANCHISE TAX - GLEASON</t>
  </si>
  <si>
    <t>Book Value of Assets</t>
  </si>
  <si>
    <t>Total Capitalization</t>
  </si>
  <si>
    <t>Total Project Cost</t>
  </si>
  <si>
    <t>Property Taxes</t>
  </si>
  <si>
    <t>Federal Taxable Income</t>
  </si>
  <si>
    <t>Less: Tax Depreciation</t>
  </si>
  <si>
    <t>Less Tax Depreciation</t>
  </si>
  <si>
    <t>Tax Depreciation From Above</t>
  </si>
  <si>
    <t>Tax Depreciation From 6 Plants</t>
  </si>
  <si>
    <t>Difference</t>
  </si>
  <si>
    <t>Energy Charge ($/MWh)</t>
  </si>
  <si>
    <t>Greater of Book Value and Capitalization</t>
  </si>
  <si>
    <t xml:space="preserve">  GenCo's State Tax Benefit/(Expense)</t>
  </si>
  <si>
    <t xml:space="preserve">  GenCo's Federal Tax Benefit/(Expense)</t>
  </si>
  <si>
    <t>CASH FLOW - GLEASON</t>
  </si>
  <si>
    <t>CASH FLOW - WILTON</t>
  </si>
  <si>
    <t>Total Debt</t>
  </si>
  <si>
    <t>After Tax Book Income</t>
  </si>
  <si>
    <t>STATE TAX &amp; SUPPLEMENTAL TAX - WHEATLAND</t>
  </si>
  <si>
    <t>STATE TAX &amp; FRANCHISE TAX - WILTON</t>
  </si>
  <si>
    <t>Com Ed Capacity Curves:</t>
  </si>
  <si>
    <t>ICF Capacity Price Escalator</t>
  </si>
  <si>
    <t>ICF Base ($/kW-year)</t>
  </si>
  <si>
    <t>ICF Base ($/kW-year )</t>
  </si>
  <si>
    <t>Required After-Tax Rate of Return (%)</t>
  </si>
  <si>
    <t>NOL Carryforward</t>
  </si>
  <si>
    <t>Total Federal Cash Taxes Payable/(Benefit)</t>
  </si>
  <si>
    <t xml:space="preserve">Franchise Tax </t>
  </si>
  <si>
    <t xml:space="preserve">Treasury Rate (%) </t>
  </si>
  <si>
    <t>Amortization %</t>
  </si>
  <si>
    <t>Uses of Funds</t>
  </si>
  <si>
    <t>2000 Plants</t>
  </si>
  <si>
    <t>POWER PRICE ASSUMPTION</t>
  </si>
  <si>
    <t>All-in Coupon Rate (%)</t>
  </si>
  <si>
    <t>Total State &amp; Misc. Taxes</t>
  </si>
  <si>
    <t>Weighted Average Heat Rate (Btu/kWh)</t>
  </si>
  <si>
    <t>Summer Heat Rate (HHV, Btu/kWh)</t>
  </si>
  <si>
    <t>Pre-Tax Cash Flow</t>
  </si>
  <si>
    <t>After-Tax Cash Flow</t>
  </si>
  <si>
    <t>Start Charge ($/Start/Turbine)</t>
  </si>
  <si>
    <t>Merchant Price Period</t>
  </si>
  <si>
    <t>Merchant Price Period:</t>
  </si>
  <si>
    <t>Equity's After-Tax Returns with Salvage Value (20 yrs)</t>
  </si>
  <si>
    <t>Major Maintenance ($/Start/Turbine)</t>
  </si>
  <si>
    <t>Major Maintenance Per Plant</t>
  </si>
  <si>
    <t>Major Maintenance</t>
  </si>
  <si>
    <t>PRICING ASSUMPTIONS:</t>
  </si>
  <si>
    <t>Fixed Price Demand Charge ($/kW-month)</t>
  </si>
  <si>
    <t>Wheatland Capacity Price Curve</t>
  </si>
  <si>
    <t>MERCHANT PRICE PERIOD</t>
  </si>
  <si>
    <t>Wilton Capacity Price Curve</t>
  </si>
  <si>
    <t>Equity's Contribution</t>
  </si>
  <si>
    <t>Equity's After-Tax Cashflow</t>
  </si>
  <si>
    <t>Equity's Net Cashflow</t>
  </si>
  <si>
    <t>Salvage Value (2 x EBITDA) at the end of 20 years ($/kW)</t>
  </si>
  <si>
    <t>Merchant Period:</t>
  </si>
  <si>
    <t>Total Project Cost less Power Contract Liability</t>
  </si>
  <si>
    <t>Summer Capacity (MW)</t>
  </si>
  <si>
    <t>Variable O&amp;M ($/MWh)</t>
  </si>
  <si>
    <t>Property Tax Liability</t>
  </si>
  <si>
    <r>
      <t>Summer Capacity (MW)</t>
    </r>
    <r>
      <rPr>
        <vertAlign val="superscript"/>
        <sz val="10"/>
        <rFont val="Arial"/>
        <family val="2"/>
      </rPr>
      <t>(1)</t>
    </r>
  </si>
  <si>
    <t>(for Gleason)</t>
  </si>
  <si>
    <t>Gleason Capacity Price Curve</t>
  </si>
  <si>
    <t>Pretax Book Income</t>
  </si>
  <si>
    <t>Retained Earnings</t>
  </si>
  <si>
    <t>Gross Receipts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</si>
</sst>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7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89" formatCode="0.0000"/>
    <numFmt numFmtId="190" formatCode="0.000"/>
    <numFmt numFmtId="194" formatCode="_(* #,##0.0000_);_(* \(#,##0.0000\);_(* &quot;-&quot;??_);_(@_)"/>
    <numFmt numFmtId="201" formatCode="_(&quot;$&quot;* #,##0.000_);_(&quot;$&quot;* \(#,##0.000\);_(&quot;$&quot;* &quot;-&quot;??_);_(@_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31" formatCode="#,##0.0000000_);[Red]\(#,##0.0000000\)"/>
    <numFmt numFmtId="332" formatCode="#,##0.00000000_);[Red]\(#,##0.00000000\)"/>
    <numFmt numFmtId="333" formatCode="General_)"/>
    <numFmt numFmtId="334" formatCode="dd\-mmm_)"/>
    <numFmt numFmtId="335" formatCode="mmm\-dd"/>
    <numFmt numFmtId="336" formatCode="#,##0;\(#,##0\)"/>
    <numFmt numFmtId="337" formatCode="&quot;$&quot;#,##0;\(&quot;$&quot;#,##0\)"/>
    <numFmt numFmtId="338" formatCode="##0.000\ \¢"/>
    <numFmt numFmtId="339" formatCode="0.000E+00_)"/>
    <numFmt numFmtId="340" formatCode="&quot;$&quot;#,##0.0000000_);\(&quot;$&quot;#,##0.0000000\)"/>
    <numFmt numFmtId="341" formatCode="0.000000000"/>
    <numFmt numFmtId="342" formatCode="0.0000000000"/>
    <numFmt numFmtId="345" formatCode="&quot;$&quot;#,##0.000000000_);\(&quot;$&quot;#,##0.000000000\)"/>
    <numFmt numFmtId="346" formatCode="&quot;$&quot;#,##0.0000000000_);\(&quot;$&quot;#,##0.0000000000\)"/>
    <numFmt numFmtId="347" formatCode="&quot;$&quot;#,##0.000000_);[Red]\(&quot;$&quot;#,##0.000000\)"/>
    <numFmt numFmtId="348" formatCode="&quot;$&quot;#,##0.0000000_);[Red]\(&quot;$&quot;#,##0.0000000\)"/>
    <numFmt numFmtId="350" formatCode="0.0000000_)"/>
    <numFmt numFmtId="352" formatCode="0.000000000_)"/>
    <numFmt numFmtId="353" formatCode="#,##0.0000000000_);[Red]\(#,##0.0000000000\)"/>
    <numFmt numFmtId="354" formatCode="0.0E+00"/>
    <numFmt numFmtId="355" formatCode="0E+00"/>
    <numFmt numFmtId="357" formatCode="mm/dd/yy"/>
  </numFmts>
  <fonts count="93">
    <font>
      <sz val="10"/>
      <name val="Arial"/>
    </font>
    <font>
      <sz val="10"/>
      <name val="Arial"/>
    </font>
    <font>
      <sz val="10"/>
      <name val="Times New Roman"/>
      <family val="1"/>
    </font>
    <font>
      <sz val="8"/>
      <name val="Arial"/>
    </font>
    <font>
      <b/>
      <sz val="14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12"/>
      <name val="Arial"/>
      <family val="2"/>
    </font>
    <font>
      <sz val="8"/>
      <name val="Arial"/>
      <family val="2"/>
    </font>
    <font>
      <sz val="12"/>
      <name val="Times New Roman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b/>
      <u/>
      <sz val="11"/>
      <color indexed="37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vertAlign val="superscript"/>
      <sz val="10"/>
      <name val="Arial"/>
      <family val="2"/>
    </font>
    <font>
      <b/>
      <sz val="10"/>
      <color indexed="8"/>
      <name val="Arial"/>
      <family val="2"/>
    </font>
    <font>
      <i/>
      <u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20"/>
      <name val="Arial"/>
      <family val="2"/>
    </font>
    <font>
      <b/>
      <sz val="12"/>
      <color indexed="10"/>
      <name val="Arial"/>
      <family val="2"/>
    </font>
    <font>
      <i/>
      <sz val="10"/>
      <name val="Arial"/>
      <family val="2"/>
    </font>
    <font>
      <b/>
      <sz val="10"/>
      <color indexed="9"/>
      <name val="Arial"/>
      <family val="2"/>
    </font>
    <font>
      <b/>
      <i/>
      <sz val="10"/>
      <color indexed="10"/>
      <name val="Arial"/>
      <family val="2"/>
    </font>
    <font>
      <i/>
      <sz val="10"/>
      <color indexed="10"/>
      <name val="Arial"/>
      <family val="2"/>
    </font>
    <font>
      <b/>
      <u/>
      <sz val="10"/>
      <color indexed="10"/>
      <name val="Arial"/>
      <family val="2"/>
    </font>
    <font>
      <u/>
      <sz val="10"/>
      <color indexed="20"/>
      <name val="Arial"/>
      <family val="2"/>
    </font>
    <font>
      <sz val="10"/>
      <color indexed="10"/>
      <name val="Arial"/>
      <family val="2"/>
    </font>
    <font>
      <b/>
      <sz val="14"/>
      <color indexed="8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u val="singleAccounting"/>
      <sz val="10"/>
      <name val="Arial"/>
      <family val="2"/>
    </font>
    <font>
      <u val="singleAccounting"/>
      <sz val="8"/>
      <name val="Arial"/>
      <family val="2"/>
    </font>
    <font>
      <u/>
      <sz val="10"/>
      <color indexed="8"/>
      <name val="Arial"/>
      <family val="2"/>
    </font>
    <font>
      <b/>
      <sz val="11"/>
      <name val="Arial"/>
      <family val="2"/>
    </font>
    <font>
      <i/>
      <u/>
      <sz val="8"/>
      <name val="Arial"/>
      <family val="2"/>
    </font>
    <font>
      <b/>
      <u/>
      <sz val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1">
    <xf numFmtId="0" fontId="0" fillId="0" borderId="0"/>
    <xf numFmtId="0" fontId="15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18" fillId="0" borderId="0">
      <protection locked="0"/>
    </xf>
    <xf numFmtId="340" fontId="1" fillId="0" borderId="0" applyFont="0" applyFill="0" applyBorder="0" applyAlignment="0" applyProtection="0"/>
    <xf numFmtId="342" fontId="1" fillId="0" borderId="0" applyFont="0" applyFill="0" applyBorder="0" applyAlignment="0" applyProtection="0"/>
    <xf numFmtId="313" fontId="1" fillId="0" borderId="0">
      <protection locked="0"/>
    </xf>
    <xf numFmtId="38" fontId="12" fillId="4" borderId="0" applyNumberFormat="0" applyBorder="0" applyAlignment="0" applyProtection="0"/>
    <xf numFmtId="0" fontId="25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11" fillId="0" borderId="2" applyNumberFormat="0" applyFill="0" applyAlignment="0" applyProtection="0"/>
    <xf numFmtId="10" fontId="12" fillId="5" borderId="3" applyNumberFormat="0" applyBorder="0" applyAlignment="0" applyProtection="0"/>
    <xf numFmtId="37" fontId="27" fillId="0" borderId="0"/>
    <xf numFmtId="170" fontId="28" fillId="0" borderId="0"/>
    <xf numFmtId="0" fontId="1" fillId="0" borderId="0"/>
    <xf numFmtId="37" fontId="3" fillId="0" borderId="0" applyBorder="0" applyAlignment="0" applyProtection="0">
      <alignment horizontal="center"/>
    </xf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1" fontId="1" fillId="0" borderId="0"/>
    <xf numFmtId="38" fontId="12" fillId="8" borderId="0" applyNumberFormat="0" applyBorder="0" applyAlignment="0" applyProtection="0"/>
    <xf numFmtId="37" fontId="12" fillId="8" borderId="0" applyNumberFormat="0" applyBorder="0" applyAlignment="0" applyProtection="0"/>
    <xf numFmtId="37" fontId="3" fillId="0" borderId="0"/>
    <xf numFmtId="37" fontId="3" fillId="4" borderId="0" applyNumberFormat="0" applyBorder="0" applyAlignment="0" applyProtection="0"/>
    <xf numFmtId="3" fontId="63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422">
    <xf numFmtId="0" fontId="0" fillId="0" borderId="0" xfId="0"/>
    <xf numFmtId="0" fontId="12" fillId="0" borderId="0" xfId="0" applyFont="1"/>
    <xf numFmtId="1" fontId="12" fillId="0" borderId="0" xfId="0" applyNumberFormat="1" applyFont="1" applyBorder="1"/>
    <xf numFmtId="166" fontId="12" fillId="0" borderId="0" xfId="3" applyNumberFormat="1" applyFont="1" applyBorder="1"/>
    <xf numFmtId="0" fontId="12" fillId="0" borderId="0" xfId="0" applyFont="1" applyBorder="1"/>
    <xf numFmtId="0" fontId="6" fillId="0" borderId="0" xfId="0" applyFont="1"/>
    <xf numFmtId="0" fontId="6" fillId="0" borderId="0" xfId="0" applyFont="1" applyFill="1"/>
    <xf numFmtId="0" fontId="6" fillId="0" borderId="6" xfId="0" applyFont="1" applyBorder="1"/>
    <xf numFmtId="0" fontId="6" fillId="0" borderId="7" xfId="0" applyFont="1" applyBorder="1"/>
    <xf numFmtId="0" fontId="6" fillId="0" borderId="0" xfId="0" applyFont="1" applyBorder="1"/>
    <xf numFmtId="0" fontId="6" fillId="0" borderId="8" xfId="0" applyFont="1" applyBorder="1"/>
    <xf numFmtId="0" fontId="6" fillId="0" borderId="9" xfId="0" applyFont="1" applyBorder="1"/>
    <xf numFmtId="38" fontId="6" fillId="0" borderId="0" xfId="0" applyNumberFormat="1" applyFont="1" applyBorder="1"/>
    <xf numFmtId="0" fontId="64" fillId="0" borderId="6" xfId="0" applyFont="1" applyBorder="1"/>
    <xf numFmtId="0" fontId="64" fillId="0" borderId="0" xfId="0" applyFont="1" applyBorder="1"/>
    <xf numFmtId="0" fontId="64" fillId="0" borderId="9" xfId="0" applyFont="1" applyBorder="1"/>
    <xf numFmtId="40" fontId="6" fillId="0" borderId="0" xfId="0" applyNumberFormat="1" applyFont="1" applyBorder="1"/>
    <xf numFmtId="40" fontId="6" fillId="0" borderId="9" xfId="0" applyNumberFormat="1" applyFont="1" applyBorder="1"/>
    <xf numFmtId="173" fontId="6" fillId="0" borderId="0" xfId="0" applyNumberFormat="1" applyFont="1" applyBorder="1" applyAlignment="1">
      <alignment horizontal="center"/>
    </xf>
    <xf numFmtId="2" fontId="6" fillId="0" borderId="0" xfId="0" applyNumberFormat="1" applyFont="1" applyBorder="1"/>
    <xf numFmtId="9" fontId="6" fillId="0" borderId="0" xfId="0" applyNumberFormat="1" applyFont="1" applyBorder="1"/>
    <xf numFmtId="210" fontId="6" fillId="0" borderId="9" xfId="0" applyNumberFormat="1" applyFont="1" applyBorder="1"/>
    <xf numFmtId="10" fontId="6" fillId="0" borderId="0" xfId="0" applyNumberFormat="1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0" xfId="0" applyFont="1" applyBorder="1" applyAlignment="1">
      <alignment horizontal="center"/>
    </xf>
    <xf numFmtId="0" fontId="64" fillId="0" borderId="0" xfId="0" applyFont="1"/>
    <xf numFmtId="0" fontId="64" fillId="4" borderId="0" xfId="17" applyFont="1" applyFill="1" applyBorder="1"/>
    <xf numFmtId="0" fontId="67" fillId="0" borderId="12" xfId="0" applyFont="1" applyFill="1" applyBorder="1" applyAlignment="1" applyProtection="1">
      <alignment horizontal="left"/>
    </xf>
    <xf numFmtId="0" fontId="6" fillId="0" borderId="6" xfId="0" applyFont="1" applyFill="1" applyBorder="1"/>
    <xf numFmtId="0" fontId="68" fillId="0" borderId="8" xfId="0" applyFont="1" applyBorder="1" applyAlignment="1" applyProtection="1">
      <alignment horizontal="left"/>
    </xf>
    <xf numFmtId="0" fontId="68" fillId="0" borderId="0" xfId="0" applyFont="1" applyBorder="1" applyAlignment="1">
      <alignment horizontal="center"/>
    </xf>
    <xf numFmtId="6" fontId="68" fillId="0" borderId="0" xfId="0" quotePrefix="1" applyNumberFormat="1" applyFont="1" applyBorder="1" applyAlignment="1">
      <alignment horizontal="center"/>
    </xf>
    <xf numFmtId="0" fontId="68" fillId="0" borderId="0" xfId="0" applyFont="1" applyBorder="1" applyAlignment="1" applyProtection="1">
      <alignment horizontal="left"/>
    </xf>
    <xf numFmtId="0" fontId="68" fillId="0" borderId="9" xfId="0" quotePrefix="1" applyFont="1" applyBorder="1" applyAlignment="1">
      <alignment horizontal="center"/>
    </xf>
    <xf numFmtId="0" fontId="6" fillId="0" borderId="8" xfId="0" applyFont="1" applyBorder="1" applyAlignment="1" applyProtection="1">
      <alignment horizontal="left"/>
    </xf>
    <xf numFmtId="9" fontId="6" fillId="0" borderId="0" xfId="0" applyNumberFormat="1" applyFont="1" applyFill="1" applyBorder="1" applyAlignment="1">
      <alignment horizontal="center"/>
    </xf>
    <xf numFmtId="38" fontId="6" fillId="0" borderId="0" xfId="3" applyNumberFormat="1" applyFont="1" applyBorder="1" applyAlignment="1">
      <alignment horizontal="center"/>
    </xf>
    <xf numFmtId="0" fontId="6" fillId="0" borderId="0" xfId="0" applyFont="1" applyBorder="1" applyAlignment="1" applyProtection="1">
      <alignment horizontal="left"/>
    </xf>
    <xf numFmtId="9" fontId="68" fillId="0" borderId="0" xfId="0" applyNumberFormat="1" applyFont="1" applyFill="1" applyBorder="1" applyAlignment="1">
      <alignment horizontal="center"/>
    </xf>
    <xf numFmtId="38" fontId="68" fillId="0" borderId="0" xfId="3" applyNumberFormat="1" applyFont="1" applyBorder="1" applyAlignment="1">
      <alignment horizontal="center"/>
    </xf>
    <xf numFmtId="38" fontId="68" fillId="0" borderId="0" xfId="0" applyNumberFormat="1" applyFont="1" applyBorder="1"/>
    <xf numFmtId="9" fontId="68" fillId="0" borderId="0" xfId="0" applyNumberFormat="1" applyFont="1" applyBorder="1" applyAlignment="1">
      <alignment horizontal="center"/>
    </xf>
    <xf numFmtId="38" fontId="68" fillId="0" borderId="9" xfId="3" applyNumberFormat="1" applyFont="1" applyBorder="1" applyAlignment="1">
      <alignment horizontal="center"/>
    </xf>
    <xf numFmtId="0" fontId="67" fillId="0" borderId="13" xfId="0" applyFont="1" applyBorder="1" applyAlignment="1">
      <alignment horizontal="left"/>
    </xf>
    <xf numFmtId="9" fontId="67" fillId="0" borderId="10" xfId="0" applyNumberFormat="1" applyFont="1" applyBorder="1" applyAlignment="1" applyProtection="1">
      <alignment horizontal="center"/>
    </xf>
    <xf numFmtId="38" fontId="67" fillId="0" borderId="10" xfId="3" applyNumberFormat="1" applyFont="1" applyBorder="1" applyAlignment="1" applyProtection="1">
      <alignment horizontal="center"/>
    </xf>
    <xf numFmtId="0" fontId="67" fillId="0" borderId="10" xfId="0" applyFont="1" applyBorder="1"/>
    <xf numFmtId="9" fontId="67" fillId="0" borderId="10" xfId="0" applyNumberFormat="1" applyFont="1" applyBorder="1" applyAlignment="1">
      <alignment horizontal="center"/>
    </xf>
    <xf numFmtId="38" fontId="67" fillId="0" borderId="11" xfId="3" applyNumberFormat="1" applyFont="1" applyBorder="1" applyAlignment="1">
      <alignment horizontal="center"/>
    </xf>
    <xf numFmtId="10" fontId="68" fillId="0" borderId="0" xfId="0" applyNumberFormat="1" applyFont="1" applyBorder="1" applyAlignment="1">
      <alignment horizontal="left"/>
    </xf>
    <xf numFmtId="10" fontId="68" fillId="0" borderId="0" xfId="0" applyNumberFormat="1" applyFont="1" applyBorder="1" applyAlignment="1" applyProtection="1">
      <alignment horizontal="center"/>
    </xf>
    <xf numFmtId="164" fontId="6" fillId="0" borderId="0" xfId="19" applyNumberFormat="1" applyFont="1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69" fillId="4" borderId="0" xfId="0" applyFont="1" applyFill="1" applyBorder="1" applyAlignment="1">
      <alignment horizontal="center"/>
    </xf>
    <xf numFmtId="0" fontId="67" fillId="0" borderId="8" xfId="0" applyFont="1" applyBorder="1"/>
    <xf numFmtId="0" fontId="64" fillId="0" borderId="0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15" fontId="6" fillId="8" borderId="0" xfId="0" applyNumberFormat="1" applyFont="1" applyFill="1" applyBorder="1" applyAlignment="1">
      <alignment horizontal="center"/>
    </xf>
    <xf numFmtId="37" fontId="6" fillId="8" borderId="0" xfId="0" applyNumberFormat="1" applyFont="1" applyFill="1" applyBorder="1" applyAlignment="1">
      <alignment horizontal="center"/>
    </xf>
    <xf numFmtId="37" fontId="64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2" fontId="64" fillId="0" borderId="0" xfId="0" applyNumberFormat="1" applyFont="1" applyBorder="1" applyAlignment="1">
      <alignment horizontal="center"/>
    </xf>
    <xf numFmtId="4" fontId="6" fillId="0" borderId="0" xfId="0" applyNumberFormat="1" applyFont="1" applyFill="1" applyBorder="1" applyAlignment="1">
      <alignment horizontal="center"/>
    </xf>
    <xf numFmtId="39" fontId="64" fillId="0" borderId="0" xfId="0" applyNumberFormat="1" applyFont="1" applyFill="1" applyBorder="1" applyAlignment="1">
      <alignment horizontal="center"/>
    </xf>
    <xf numFmtId="173" fontId="6" fillId="8" borderId="0" xfId="0" applyNumberFormat="1" applyFont="1" applyFill="1" applyBorder="1" applyAlignment="1">
      <alignment horizontal="center"/>
    </xf>
    <xf numFmtId="173" fontId="64" fillId="0" borderId="0" xfId="19" applyNumberFormat="1" applyFont="1" applyFill="1" applyBorder="1" applyAlignment="1">
      <alignment horizontal="center"/>
    </xf>
    <xf numFmtId="0" fontId="68" fillId="0" borderId="8" xfId="0" applyFont="1" applyBorder="1"/>
    <xf numFmtId="173" fontId="68" fillId="8" borderId="0" xfId="0" applyNumberFormat="1" applyFont="1" applyFill="1" applyBorder="1" applyAlignment="1">
      <alignment horizontal="center"/>
    </xf>
    <xf numFmtId="173" fontId="67" fillId="0" borderId="0" xfId="19" applyNumberFormat="1" applyFont="1" applyFill="1" applyBorder="1" applyAlignment="1">
      <alignment horizontal="center"/>
    </xf>
    <xf numFmtId="10" fontId="6" fillId="8" borderId="0" xfId="0" applyNumberFormat="1" applyFont="1" applyFill="1" applyBorder="1" applyAlignment="1">
      <alignment horizontal="center"/>
    </xf>
    <xf numFmtId="37" fontId="64" fillId="8" borderId="0" xfId="0" applyNumberFormat="1" applyFont="1" applyFill="1" applyBorder="1" applyAlignment="1">
      <alignment horizontal="center"/>
    </xf>
    <xf numFmtId="0" fontId="6" fillId="0" borderId="13" xfId="0" applyFont="1" applyBorder="1" applyAlignment="1">
      <alignment horizontal="left"/>
    </xf>
    <xf numFmtId="164" fontId="64" fillId="8" borderId="10" xfId="19" applyNumberFormat="1" applyFont="1" applyFill="1" applyBorder="1" applyAlignment="1">
      <alignment horizontal="center"/>
    </xf>
    <xf numFmtId="0" fontId="67" fillId="0" borderId="12" xfId="0" applyFont="1" applyFill="1" applyBorder="1"/>
    <xf numFmtId="0" fontId="67" fillId="0" borderId="6" xfId="0" applyFont="1" applyFill="1" applyBorder="1" applyAlignment="1">
      <alignment horizontal="centerContinuous"/>
    </xf>
    <xf numFmtId="0" fontId="6" fillId="0" borderId="4" xfId="0" applyFont="1" applyFill="1" applyBorder="1" applyAlignment="1">
      <alignment horizontal="centerContinuous"/>
    </xf>
    <xf numFmtId="0" fontId="68" fillId="0" borderId="4" xfId="0" applyFont="1" applyFill="1" applyBorder="1" applyAlignment="1">
      <alignment horizontal="centerContinuous"/>
    </xf>
    <xf numFmtId="0" fontId="68" fillId="0" borderId="0" xfId="0" applyFont="1" applyFill="1" applyBorder="1" applyAlignment="1">
      <alignment horizontal="center"/>
    </xf>
    <xf numFmtId="0" fontId="68" fillId="0" borderId="8" xfId="0" applyFont="1" applyFill="1" applyBorder="1"/>
    <xf numFmtId="10" fontId="64" fillId="0" borderId="0" xfId="0" applyNumberFormat="1" applyFont="1" applyFill="1" applyBorder="1"/>
    <xf numFmtId="0" fontId="6" fillId="0" borderId="8" xfId="0" applyFont="1" applyFill="1" applyBorder="1"/>
    <xf numFmtId="38" fontId="6" fillId="0" borderId="0" xfId="0" applyNumberFormat="1" applyFont="1" applyFill="1" applyBorder="1" applyAlignment="1">
      <alignment horizontal="center"/>
    </xf>
    <xf numFmtId="43" fontId="6" fillId="0" borderId="0" xfId="3" applyFont="1" applyFill="1" applyBorder="1" applyAlignment="1">
      <alignment horizontal="center"/>
    </xf>
    <xf numFmtId="9" fontId="6" fillId="0" borderId="0" xfId="19" applyFont="1" applyFill="1" applyBorder="1" applyAlignment="1">
      <alignment horizontal="center"/>
    </xf>
    <xf numFmtId="10" fontId="6" fillId="0" borderId="0" xfId="19" applyNumberFormat="1" applyFont="1" applyFill="1" applyBorder="1" applyAlignment="1">
      <alignment horizontal="center"/>
    </xf>
    <xf numFmtId="0" fontId="6" fillId="0" borderId="13" xfId="0" applyFont="1" applyFill="1" applyBorder="1"/>
    <xf numFmtId="38" fontId="6" fillId="0" borderId="10" xfId="0" applyNumberFormat="1" applyFont="1" applyFill="1" applyBorder="1" applyAlignment="1">
      <alignment horizontal="center"/>
    </xf>
    <xf numFmtId="38" fontId="6" fillId="0" borderId="10" xfId="0" applyNumberFormat="1" applyFont="1" applyBorder="1" applyAlignment="1">
      <alignment horizontal="center"/>
    </xf>
    <xf numFmtId="43" fontId="6" fillId="0" borderId="10" xfId="3" applyFont="1" applyFill="1" applyBorder="1" applyAlignment="1">
      <alignment horizontal="center"/>
    </xf>
    <xf numFmtId="9" fontId="6" fillId="0" borderId="10" xfId="19" applyFont="1" applyFill="1" applyBorder="1" applyAlignment="1">
      <alignment horizontal="center"/>
    </xf>
    <xf numFmtId="0" fontId="68" fillId="0" borderId="0" xfId="0" applyFont="1" applyBorder="1"/>
    <xf numFmtId="212" fontId="6" fillId="0" borderId="0" xfId="3" applyNumberFormat="1" applyFont="1" applyBorder="1" applyAlignment="1">
      <alignment horizontal="center"/>
    </xf>
    <xf numFmtId="164" fontId="64" fillId="0" borderId="0" xfId="0" applyNumberFormat="1" applyFont="1" applyBorder="1" applyAlignment="1">
      <alignment horizontal="center"/>
    </xf>
    <xf numFmtId="10" fontId="6" fillId="0" borderId="0" xfId="0" applyNumberFormat="1" applyFont="1" applyBorder="1" applyAlignment="1">
      <alignment horizontal="center"/>
    </xf>
    <xf numFmtId="0" fontId="6" fillId="0" borderId="13" xfId="0" applyFont="1" applyBorder="1"/>
    <xf numFmtId="0" fontId="6" fillId="0" borderId="0" xfId="0" applyFont="1" applyFill="1" applyBorder="1"/>
    <xf numFmtId="0" fontId="6" fillId="0" borderId="9" xfId="0" applyFont="1" applyFill="1" applyBorder="1"/>
    <xf numFmtId="40" fontId="6" fillId="0" borderId="0" xfId="0" applyNumberFormat="1" applyFont="1" applyBorder="1" applyAlignment="1">
      <alignment horizontal="center"/>
    </xf>
    <xf numFmtId="39" fontId="6" fillId="0" borderId="0" xfId="3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10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3" fontId="6" fillId="0" borderId="9" xfId="0" applyNumberFormat="1" applyFont="1" applyBorder="1" applyAlignment="1">
      <alignment horizontal="center"/>
    </xf>
    <xf numFmtId="166" fontId="6" fillId="0" borderId="0" xfId="3" applyNumberFormat="1" applyFont="1" applyBorder="1" applyAlignment="1">
      <alignment horizontal="center"/>
    </xf>
    <xf numFmtId="0" fontId="6" fillId="0" borderId="4" xfId="0" applyFont="1" applyBorder="1"/>
    <xf numFmtId="0" fontId="67" fillId="0" borderId="7" xfId="0" applyFont="1" applyBorder="1" applyAlignment="1">
      <alignment horizontal="centerContinuous"/>
    </xf>
    <xf numFmtId="0" fontId="69" fillId="0" borderId="0" xfId="0" applyFont="1" applyFill="1" applyBorder="1" applyAlignment="1">
      <alignment horizontal="center"/>
    </xf>
    <xf numFmtId="0" fontId="69" fillId="4" borderId="9" xfId="0" applyFont="1" applyFill="1" applyBorder="1" applyAlignment="1">
      <alignment horizontal="center"/>
    </xf>
    <xf numFmtId="38" fontId="6" fillId="8" borderId="0" xfId="0" applyNumberFormat="1" applyFont="1" applyFill="1" applyBorder="1" applyAlignment="1">
      <alignment horizontal="center"/>
    </xf>
    <xf numFmtId="38" fontId="6" fillId="0" borderId="9" xfId="0" applyNumberFormat="1" applyFont="1" applyFill="1" applyBorder="1" applyAlignment="1">
      <alignment horizontal="center"/>
    </xf>
    <xf numFmtId="3" fontId="6" fillId="0" borderId="0" xfId="3" applyNumberFormat="1" applyFont="1" applyBorder="1" applyAlignment="1">
      <alignment horizontal="center"/>
    </xf>
    <xf numFmtId="38" fontId="6" fillId="8" borderId="10" xfId="0" applyNumberFormat="1" applyFont="1" applyFill="1" applyBorder="1" applyAlignment="1">
      <alignment horizontal="center"/>
    </xf>
    <xf numFmtId="0" fontId="6" fillId="0" borderId="7" xfId="0" applyFont="1" applyFill="1" applyBorder="1"/>
    <xf numFmtId="40" fontId="6" fillId="8" borderId="0" xfId="0" applyNumberFormat="1" applyFont="1" applyFill="1" applyBorder="1" applyAlignment="1">
      <alignment horizontal="center"/>
    </xf>
    <xf numFmtId="40" fontId="6" fillId="0" borderId="0" xfId="0" applyNumberFormat="1" applyFont="1" applyFill="1" applyBorder="1" applyAlignment="1">
      <alignment horizontal="center"/>
    </xf>
    <xf numFmtId="40" fontId="6" fillId="0" borderId="9" xfId="0" applyNumberFormat="1" applyFont="1" applyFill="1" applyBorder="1" applyAlignment="1">
      <alignment horizontal="center"/>
    </xf>
    <xf numFmtId="3" fontId="6" fillId="8" borderId="10" xfId="0" applyNumberFormat="1" applyFont="1" applyFill="1" applyBorder="1" applyAlignment="1">
      <alignment horizontal="center"/>
    </xf>
    <xf numFmtId="3" fontId="6" fillId="0" borderId="11" xfId="0" applyNumberFormat="1" applyFont="1" applyBorder="1" applyAlignment="1">
      <alignment horizontal="center"/>
    </xf>
    <xf numFmtId="0" fontId="68" fillId="0" borderId="6" xfId="0" applyFont="1" applyFill="1" applyBorder="1" applyAlignment="1">
      <alignment horizontal="center"/>
    </xf>
    <xf numFmtId="40" fontId="6" fillId="0" borderId="6" xfId="0" applyNumberFormat="1" applyFont="1" applyFill="1" applyBorder="1" applyAlignment="1">
      <alignment horizontal="center"/>
    </xf>
    <xf numFmtId="40" fontId="6" fillId="0" borderId="7" xfId="0" applyNumberFormat="1" applyFont="1" applyFill="1" applyBorder="1" applyAlignment="1">
      <alignment horizontal="center"/>
    </xf>
    <xf numFmtId="0" fontId="6" fillId="0" borderId="8" xfId="0" applyFont="1" applyFill="1" applyBorder="1" applyAlignment="1" applyProtection="1">
      <alignment horizontal="left"/>
    </xf>
    <xf numFmtId="39" fontId="6" fillId="8" borderId="0" xfId="3" applyNumberFormat="1" applyFont="1" applyFill="1" applyBorder="1" applyAlignment="1">
      <alignment horizontal="center"/>
    </xf>
    <xf numFmtId="10" fontId="6" fillId="0" borderId="9" xfId="0" applyNumberFormat="1" applyFont="1" applyFill="1" applyBorder="1" applyAlignment="1">
      <alignment horizontal="center"/>
    </xf>
    <xf numFmtId="10" fontId="6" fillId="0" borderId="9" xfId="19" applyNumberFormat="1" applyFont="1" applyFill="1" applyBorder="1" applyAlignment="1">
      <alignment horizontal="center"/>
    </xf>
    <xf numFmtId="3" fontId="6" fillId="8" borderId="0" xfId="3" applyNumberFormat="1" applyFont="1" applyFill="1" applyBorder="1" applyAlignment="1">
      <alignment horizontal="center"/>
    </xf>
    <xf numFmtId="3" fontId="6" fillId="0" borderId="0" xfId="3" applyNumberFormat="1" applyFont="1" applyFill="1" applyBorder="1" applyAlignment="1">
      <alignment horizontal="center"/>
    </xf>
    <xf numFmtId="3" fontId="6" fillId="0" borderId="10" xfId="3" applyNumberFormat="1" applyFont="1" applyFill="1" applyBorder="1" applyAlignment="1">
      <alignment horizontal="center"/>
    </xf>
    <xf numFmtId="0" fontId="68" fillId="0" borderId="7" xfId="0" applyFont="1" applyFill="1" applyBorder="1" applyAlignment="1">
      <alignment horizontal="center"/>
    </xf>
    <xf numFmtId="10" fontId="6" fillId="8" borderId="0" xfId="19" applyNumberFormat="1" applyFont="1" applyFill="1" applyBorder="1" applyAlignment="1">
      <alignment horizontal="center"/>
    </xf>
    <xf numFmtId="10" fontId="6" fillId="8" borderId="10" xfId="19" applyNumberFormat="1" applyFont="1" applyFill="1" applyBorder="1" applyAlignment="1">
      <alignment horizontal="center"/>
    </xf>
    <xf numFmtId="0" fontId="6" fillId="0" borderId="14" xfId="0" applyFont="1" applyBorder="1"/>
    <xf numFmtId="44" fontId="6" fillId="0" borderId="0" xfId="4" applyFont="1" applyFill="1" applyBorder="1"/>
    <xf numFmtId="7" fontId="6" fillId="0" borderId="0" xfId="3" applyNumberFormat="1" applyFont="1" applyBorder="1"/>
    <xf numFmtId="0" fontId="67" fillId="0" borderId="0" xfId="3" applyNumberFormat="1" applyFont="1" applyBorder="1" applyAlignment="1">
      <alignment horizontal="right"/>
    </xf>
    <xf numFmtId="0" fontId="67" fillId="0" borderId="0" xfId="0" applyFont="1" applyBorder="1"/>
    <xf numFmtId="40" fontId="6" fillId="0" borderId="0" xfId="3" applyNumberFormat="1" applyFont="1" applyBorder="1" applyAlignment="1">
      <alignment horizontal="right"/>
    </xf>
    <xf numFmtId="10" fontId="71" fillId="0" borderId="3" xfId="19" applyNumberFormat="1" applyFont="1" applyFill="1" applyBorder="1" applyAlignment="1">
      <alignment horizontal="right"/>
    </xf>
    <xf numFmtId="43" fontId="6" fillId="0" borderId="0" xfId="0" applyNumberFormat="1" applyFont="1" applyBorder="1"/>
    <xf numFmtId="10" fontId="71" fillId="0" borderId="0" xfId="19" applyNumberFormat="1" applyFont="1" applyFill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72" fillId="0" borderId="0" xfId="0" applyFont="1" applyBorder="1"/>
    <xf numFmtId="2" fontId="73" fillId="0" borderId="0" xfId="3" applyNumberFormat="1" applyFont="1" applyFill="1" applyBorder="1" applyAlignment="1">
      <alignment horizontal="right"/>
    </xf>
    <xf numFmtId="43" fontId="6" fillId="0" borderId="0" xfId="3" applyNumberFormat="1" applyFont="1" applyBorder="1" applyAlignment="1">
      <alignment horizontal="right"/>
    </xf>
    <xf numFmtId="9" fontId="73" fillId="0" borderId="0" xfId="0" applyNumberFormat="1" applyFont="1" applyBorder="1"/>
    <xf numFmtId="40" fontId="6" fillId="0" borderId="0" xfId="3" applyNumberFormat="1" applyFont="1" applyFill="1" applyBorder="1" applyAlignment="1">
      <alignment horizontal="right"/>
    </xf>
    <xf numFmtId="43" fontId="6" fillId="0" borderId="0" xfId="3" applyFont="1" applyFill="1" applyBorder="1" applyAlignment="1">
      <alignment horizontal="right"/>
    </xf>
    <xf numFmtId="0" fontId="64" fillId="0" borderId="15" xfId="0" applyFont="1" applyBorder="1"/>
    <xf numFmtId="40" fontId="6" fillId="10" borderId="14" xfId="3" applyNumberFormat="1" applyFont="1" applyFill="1" applyBorder="1" applyAlignment="1">
      <alignment horizontal="right"/>
    </xf>
    <xf numFmtId="1" fontId="73" fillId="0" borderId="0" xfId="3" applyNumberFormat="1" applyFont="1" applyFill="1" applyBorder="1" applyAlignment="1">
      <alignment horizontal="right"/>
    </xf>
    <xf numFmtId="43" fontId="68" fillId="0" borderId="0" xfId="3" applyNumberFormat="1" applyFont="1" applyBorder="1" applyAlignment="1">
      <alignment horizontal="right"/>
    </xf>
    <xf numFmtId="43" fontId="6" fillId="0" borderId="0" xfId="3" applyFont="1" applyBorder="1" applyAlignment="1">
      <alignment horizontal="right"/>
    </xf>
    <xf numFmtId="40" fontId="68" fillId="0" borderId="0" xfId="3" applyNumberFormat="1" applyFont="1" applyBorder="1" applyAlignment="1">
      <alignment horizontal="right"/>
    </xf>
    <xf numFmtId="43" fontId="68" fillId="0" borderId="0" xfId="3" applyFont="1" applyBorder="1" applyAlignment="1">
      <alignment horizontal="right"/>
    </xf>
    <xf numFmtId="0" fontId="65" fillId="4" borderId="0" xfId="0" applyFont="1" applyFill="1"/>
    <xf numFmtId="0" fontId="6" fillId="4" borderId="0" xfId="0" applyFont="1" applyFill="1"/>
    <xf numFmtId="166" fontId="64" fillId="0" borderId="0" xfId="0" applyNumberFormat="1" applyFont="1" applyFill="1"/>
    <xf numFmtId="166" fontId="6" fillId="0" borderId="0" xfId="0" applyNumberFormat="1" applyFont="1" applyFill="1"/>
    <xf numFmtId="38" fontId="6" fillId="0" borderId="0" xfId="0" applyNumberFormat="1" applyFont="1" applyFill="1"/>
    <xf numFmtId="0" fontId="64" fillId="0" borderId="10" xfId="0" applyNumberFormat="1" applyFont="1" applyFill="1" applyBorder="1" applyAlignment="1">
      <alignment horizontal="left"/>
    </xf>
    <xf numFmtId="0" fontId="64" fillId="0" borderId="10" xfId="0" applyFont="1" applyFill="1" applyBorder="1" applyAlignment="1">
      <alignment horizontal="center"/>
    </xf>
    <xf numFmtId="0" fontId="64" fillId="0" borderId="0" xfId="0" applyFont="1" applyFill="1" applyBorder="1" applyAlignment="1">
      <alignment horizontal="center"/>
    </xf>
    <xf numFmtId="166" fontId="64" fillId="11" borderId="0" xfId="0" applyNumberFormat="1" applyFont="1" applyFill="1"/>
    <xf numFmtId="166" fontId="6" fillId="11" borderId="0" xfId="0" applyNumberFormat="1" applyFont="1" applyFill="1"/>
    <xf numFmtId="0" fontId="64" fillId="0" borderId="0" xfId="0" applyFont="1" applyFill="1" applyBorder="1" applyAlignment="1">
      <alignment horizontal="left"/>
    </xf>
    <xf numFmtId="166" fontId="64" fillId="0" borderId="0" xfId="3" applyNumberFormat="1" applyFont="1" applyFill="1"/>
    <xf numFmtId="38" fontId="6" fillId="11" borderId="0" xfId="0" applyNumberFormat="1" applyFont="1" applyFill="1"/>
    <xf numFmtId="166" fontId="64" fillId="0" borderId="0" xfId="3" applyNumberFormat="1" applyFont="1" applyFill="1" applyBorder="1" applyAlignment="1">
      <alignment horizontal="centerContinuous"/>
    </xf>
    <xf numFmtId="0" fontId="64" fillId="0" borderId="0" xfId="0" applyFont="1" applyFill="1"/>
    <xf numFmtId="38" fontId="6" fillId="0" borderId="0" xfId="0" applyNumberFormat="1" applyFont="1" applyFill="1" applyBorder="1"/>
    <xf numFmtId="0" fontId="68" fillId="0" borderId="0" xfId="0" applyFont="1" applyFill="1"/>
    <xf numFmtId="38" fontId="6" fillId="0" borderId="0" xfId="0" applyNumberFormat="1" applyFont="1"/>
    <xf numFmtId="0" fontId="6" fillId="0" borderId="0" xfId="0" applyFont="1" applyFill="1" applyAlignment="1">
      <alignment horizontal="left"/>
    </xf>
    <xf numFmtId="38" fontId="74" fillId="0" borderId="0" xfId="0" applyNumberFormat="1" applyFont="1" applyFill="1" applyBorder="1"/>
    <xf numFmtId="38" fontId="74" fillId="0" borderId="0" xfId="0" applyNumberFormat="1" applyFont="1"/>
    <xf numFmtId="0" fontId="74" fillId="0" borderId="0" xfId="0" applyFont="1"/>
    <xf numFmtId="38" fontId="6" fillId="0" borderId="4" xfId="0" applyNumberFormat="1" applyFont="1" applyBorder="1"/>
    <xf numFmtId="166" fontId="6" fillId="0" borderId="0" xfId="3" applyNumberFormat="1" applyFont="1"/>
    <xf numFmtId="38" fontId="46" fillId="0" borderId="0" xfId="0" applyNumberFormat="1" applyFont="1" applyFill="1" applyAlignment="1">
      <alignment horizontal="left"/>
    </xf>
    <xf numFmtId="38" fontId="75" fillId="0" borderId="0" xfId="0" applyNumberFormat="1" applyFont="1"/>
    <xf numFmtId="0" fontId="46" fillId="0" borderId="0" xfId="0" applyFont="1" applyFill="1" applyAlignment="1">
      <alignment horizontal="left"/>
    </xf>
    <xf numFmtId="38" fontId="11" fillId="0" borderId="0" xfId="0" applyNumberFormat="1" applyFont="1"/>
    <xf numFmtId="38" fontId="64" fillId="0" borderId="0" xfId="0" applyNumberFormat="1" applyFont="1"/>
    <xf numFmtId="0" fontId="66" fillId="0" borderId="0" xfId="0" applyFont="1" applyFill="1"/>
    <xf numFmtId="38" fontId="66" fillId="0" borderId="0" xfId="0" applyNumberFormat="1" applyFont="1"/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left"/>
    </xf>
    <xf numFmtId="166" fontId="76" fillId="0" borderId="0" xfId="0" applyNumberFormat="1" applyFont="1" applyFill="1" applyBorder="1" applyAlignment="1">
      <alignment horizontal="left"/>
    </xf>
    <xf numFmtId="0" fontId="74" fillId="0" borderId="0" xfId="0" applyFont="1" applyBorder="1"/>
    <xf numFmtId="0" fontId="69" fillId="0" borderId="0" xfId="0" applyFont="1" applyBorder="1"/>
    <xf numFmtId="187" fontId="77" fillId="0" borderId="0" xfId="0" applyNumberFormat="1" applyFont="1" applyBorder="1" applyAlignment="1">
      <alignment horizontal="center"/>
    </xf>
    <xf numFmtId="0" fontId="77" fillId="0" borderId="0" xfId="0" applyFont="1" applyBorder="1"/>
    <xf numFmtId="0" fontId="64" fillId="0" borderId="10" xfId="0" applyNumberFormat="1" applyFont="1" applyFill="1" applyBorder="1" applyAlignment="1">
      <alignment horizontal="center"/>
    </xf>
    <xf numFmtId="14" fontId="78" fillId="0" borderId="0" xfId="0" applyNumberFormat="1" applyFont="1" applyFill="1" applyBorder="1" applyAlignment="1">
      <alignment horizontal="center"/>
    </xf>
    <xf numFmtId="14" fontId="77" fillId="0" borderId="0" xfId="0" applyNumberFormat="1" applyFont="1" applyFill="1" applyAlignment="1">
      <alignment horizontal="center"/>
    </xf>
    <xf numFmtId="0" fontId="71" fillId="0" borderId="0" xfId="0" applyFont="1"/>
    <xf numFmtId="0" fontId="74" fillId="0" borderId="0" xfId="0" applyFont="1" applyFill="1"/>
    <xf numFmtId="0" fontId="67" fillId="0" borderId="0" xfId="0" applyFont="1"/>
    <xf numFmtId="14" fontId="68" fillId="0" borderId="0" xfId="0" applyNumberFormat="1" applyFont="1" applyFill="1" applyAlignment="1">
      <alignment horizontal="center"/>
    </xf>
    <xf numFmtId="0" fontId="79" fillId="0" borderId="0" xfId="0" applyFont="1" applyAlignment="1">
      <alignment horizontal="center"/>
    </xf>
    <xf numFmtId="3" fontId="6" fillId="0" borderId="0" xfId="0" applyNumberFormat="1" applyFont="1"/>
    <xf numFmtId="166" fontId="6" fillId="0" borderId="0" xfId="3" applyNumberFormat="1" applyFont="1" applyFill="1"/>
    <xf numFmtId="0" fontId="80" fillId="0" borderId="0" xfId="0" applyFont="1"/>
    <xf numFmtId="166" fontId="68" fillId="0" borderId="0" xfId="3" applyNumberFormat="1" applyFont="1" applyFill="1"/>
    <xf numFmtId="166" fontId="68" fillId="0" borderId="0" xfId="3" applyNumberFormat="1" applyFont="1" applyFill="1" applyBorder="1"/>
    <xf numFmtId="166" fontId="6" fillId="0" borderId="0" xfId="3" applyNumberFormat="1" applyFont="1" applyFill="1" applyBorder="1"/>
    <xf numFmtId="166" fontId="79" fillId="0" borderId="0" xfId="0" applyNumberFormat="1" applyFont="1"/>
    <xf numFmtId="166" fontId="80" fillId="0" borderId="0" xfId="0" applyNumberFormat="1" applyFont="1"/>
    <xf numFmtId="3" fontId="64" fillId="0" borderId="0" xfId="0" applyNumberFormat="1" applyFont="1" applyFill="1" applyBorder="1"/>
    <xf numFmtId="164" fontId="6" fillId="0" borderId="0" xfId="19" applyNumberFormat="1" applyFont="1" applyFill="1"/>
    <xf numFmtId="0" fontId="80" fillId="0" borderId="0" xfId="0" applyFont="1" applyFill="1"/>
    <xf numFmtId="3" fontId="6" fillId="0" borderId="0" xfId="0" applyNumberFormat="1" applyFont="1" applyFill="1" applyBorder="1"/>
    <xf numFmtId="3" fontId="6" fillId="0" borderId="0" xfId="0" applyNumberFormat="1" applyFont="1" applyFill="1"/>
    <xf numFmtId="0" fontId="77" fillId="0" borderId="0" xfId="0" applyFont="1"/>
    <xf numFmtId="3" fontId="67" fillId="0" borderId="0" xfId="0" applyNumberFormat="1" applyFont="1"/>
    <xf numFmtId="3" fontId="64" fillId="0" borderId="0" xfId="0" applyNumberFormat="1" applyFont="1"/>
    <xf numFmtId="3" fontId="68" fillId="0" borderId="0" xfId="0" applyNumberFormat="1" applyFont="1"/>
    <xf numFmtId="3" fontId="68" fillId="0" borderId="0" xfId="0" applyNumberFormat="1" applyFont="1" applyFill="1" applyBorder="1"/>
    <xf numFmtId="0" fontId="71" fillId="0" borderId="15" xfId="0" applyFont="1" applyBorder="1"/>
    <xf numFmtId="179" fontId="71" fillId="2" borderId="14" xfId="0" applyNumberFormat="1" applyFont="1" applyFill="1" applyBorder="1" applyAlignment="1">
      <alignment horizontal="right"/>
    </xf>
    <xf numFmtId="179" fontId="71" fillId="2" borderId="16" xfId="0" applyNumberFormat="1" applyFont="1" applyFill="1" applyBorder="1" applyAlignment="1">
      <alignment horizontal="right"/>
    </xf>
    <xf numFmtId="0" fontId="71" fillId="0" borderId="0" xfId="0" applyFont="1" applyBorder="1"/>
    <xf numFmtId="179" fontId="71" fillId="0" borderId="0" xfId="0" applyNumberFormat="1" applyFont="1" applyBorder="1" applyAlignment="1">
      <alignment horizontal="right"/>
    </xf>
    <xf numFmtId="166" fontId="71" fillId="0" borderId="0" xfId="3" applyNumberFormat="1" applyFont="1" applyBorder="1" applyAlignment="1">
      <alignment horizontal="right"/>
    </xf>
    <xf numFmtId="166" fontId="71" fillId="0" borderId="0" xfId="3" applyNumberFormat="1" applyFont="1" applyBorder="1" applyAlignment="1">
      <alignment horizontal="center"/>
    </xf>
    <xf numFmtId="0" fontId="64" fillId="0" borderId="17" xfId="0" applyFont="1" applyBorder="1"/>
    <xf numFmtId="0" fontId="64" fillId="0" borderId="18" xfId="0" applyFont="1" applyBorder="1"/>
    <xf numFmtId="0" fontId="64" fillId="0" borderId="19" xfId="0" applyFont="1" applyBorder="1"/>
    <xf numFmtId="0" fontId="64" fillId="0" borderId="20" xfId="0" applyFont="1" applyBorder="1" applyAlignment="1">
      <alignment horizontal="left"/>
    </xf>
    <xf numFmtId="179" fontId="64" fillId="0" borderId="21" xfId="0" applyNumberFormat="1" applyFont="1" applyBorder="1"/>
    <xf numFmtId="0" fontId="64" fillId="0" borderId="22" xfId="0" applyFont="1" applyBorder="1" applyAlignment="1">
      <alignment horizontal="left"/>
    </xf>
    <xf numFmtId="0" fontId="64" fillId="0" borderId="4" xfId="0" applyFont="1" applyBorder="1"/>
    <xf numFmtId="179" fontId="64" fillId="0" borderId="23" xfId="0" applyNumberFormat="1" applyFont="1" applyBorder="1"/>
    <xf numFmtId="166" fontId="6" fillId="0" borderId="0" xfId="0" applyNumberFormat="1" applyFont="1" applyBorder="1" applyAlignment="1">
      <alignment horizontal="left"/>
    </xf>
    <xf numFmtId="0" fontId="6" fillId="0" borderId="17" xfId="0" applyFont="1" applyBorder="1" applyAlignment="1">
      <alignment horizontal="left"/>
    </xf>
    <xf numFmtId="0" fontId="6" fillId="0" borderId="18" xfId="0" applyFont="1" applyBorder="1"/>
    <xf numFmtId="173" fontId="6" fillId="0" borderId="19" xfId="0" applyNumberFormat="1" applyFont="1" applyFill="1" applyBorder="1" applyAlignment="1">
      <alignment horizontal="center"/>
    </xf>
    <xf numFmtId="0" fontId="6" fillId="0" borderId="20" xfId="0" applyFont="1" applyBorder="1" applyAlignment="1">
      <alignment horizontal="left"/>
    </xf>
    <xf numFmtId="173" fontId="68" fillId="0" borderId="2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left"/>
    </xf>
    <xf numFmtId="173" fontId="6" fillId="0" borderId="23" xfId="0" applyNumberFormat="1" applyFont="1" applyBorder="1" applyAlignment="1">
      <alignment horizontal="center"/>
    </xf>
    <xf numFmtId="0" fontId="37" fillId="0" borderId="17" xfId="0" applyFont="1" applyBorder="1"/>
    <xf numFmtId="2" fontId="37" fillId="0" borderId="19" xfId="0" applyNumberFormat="1" applyFont="1" applyBorder="1" applyAlignment="1">
      <alignment horizontal="center"/>
    </xf>
    <xf numFmtId="0" fontId="37" fillId="0" borderId="20" xfId="0" applyFont="1" applyBorder="1"/>
    <xf numFmtId="4" fontId="6" fillId="0" borderId="21" xfId="0" applyNumberFormat="1" applyFont="1" applyBorder="1" applyAlignment="1">
      <alignment horizontal="center"/>
    </xf>
    <xf numFmtId="37" fontId="6" fillId="0" borderId="23" xfId="0" applyNumberFormat="1" applyFont="1" applyFill="1" applyBorder="1" applyAlignment="1">
      <alignment horizontal="center"/>
    </xf>
    <xf numFmtId="43" fontId="6" fillId="0" borderId="0" xfId="3" applyFont="1"/>
    <xf numFmtId="168" fontId="68" fillId="0" borderId="0" xfId="3" applyNumberFormat="1" applyFont="1"/>
    <xf numFmtId="43" fontId="6" fillId="0" borderId="0" xfId="3" applyNumberFormat="1" applyFont="1"/>
    <xf numFmtId="0" fontId="65" fillId="0" borderId="0" xfId="0" applyFont="1"/>
    <xf numFmtId="14" fontId="77" fillId="0" borderId="0" xfId="0" applyNumberFormat="1" applyFont="1" applyFill="1" applyBorder="1" applyAlignment="1">
      <alignment horizontal="center"/>
    </xf>
    <xf numFmtId="0" fontId="64" fillId="8" borderId="10" xfId="0" applyFont="1" applyFill="1" applyBorder="1" applyAlignment="1">
      <alignment horizontal="center"/>
    </xf>
    <xf numFmtId="0" fontId="74" fillId="0" borderId="0" xfId="0" applyFont="1" applyFill="1" applyBorder="1" applyAlignment="1">
      <alignment horizontal="center"/>
    </xf>
    <xf numFmtId="0" fontId="64" fillId="0" borderId="0" xfId="0" applyNumberFormat="1" applyFont="1" applyFill="1" applyBorder="1" applyAlignment="1">
      <alignment horizontal="left"/>
    </xf>
    <xf numFmtId="14" fontId="77" fillId="0" borderId="0" xfId="0" applyNumberFormat="1" applyFont="1" applyAlignment="1">
      <alignment horizontal="center"/>
    </xf>
    <xf numFmtId="0" fontId="64" fillId="8" borderId="0" xfId="0" applyFont="1" applyFill="1" applyBorder="1" applyAlignment="1">
      <alignment horizontal="center"/>
    </xf>
    <xf numFmtId="0" fontId="74" fillId="0" borderId="0" xfId="0" applyFont="1" applyFill="1" applyBorder="1"/>
    <xf numFmtId="14" fontId="64" fillId="0" borderId="0" xfId="0" applyNumberFormat="1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43" fontId="64" fillId="0" borderId="0" xfId="3" applyFont="1" applyFill="1" applyAlignment="1">
      <alignment horizontal="left"/>
    </xf>
    <xf numFmtId="166" fontId="6" fillId="8" borderId="0" xfId="3" applyNumberFormat="1" applyFont="1" applyFill="1"/>
    <xf numFmtId="166" fontId="74" fillId="0" borderId="0" xfId="3" applyNumberFormat="1" applyFont="1" applyFill="1" applyBorder="1"/>
    <xf numFmtId="166" fontId="74" fillId="0" borderId="0" xfId="0" applyNumberFormat="1" applyFont="1"/>
    <xf numFmtId="43" fontId="6" fillId="0" borderId="0" xfId="3" applyFont="1" applyFill="1" applyAlignment="1">
      <alignment horizontal="left"/>
    </xf>
    <xf numFmtId="166" fontId="6" fillId="0" borderId="0" xfId="3" applyNumberFormat="1" applyFont="1" applyBorder="1"/>
    <xf numFmtId="38" fontId="6" fillId="0" borderId="0" xfId="3" applyNumberFormat="1" applyFont="1" applyFill="1"/>
    <xf numFmtId="166" fontId="6" fillId="0" borderId="4" xfId="3" applyNumberFormat="1" applyFont="1" applyFill="1" applyBorder="1"/>
    <xf numFmtId="166" fontId="6" fillId="8" borderId="4" xfId="3" applyNumberFormat="1" applyFont="1" applyFill="1" applyBorder="1"/>
    <xf numFmtId="166" fontId="64" fillId="0" borderId="0" xfId="3" applyNumberFormat="1" applyFont="1"/>
    <xf numFmtId="166" fontId="6" fillId="0" borderId="4" xfId="3" applyNumberFormat="1" applyFont="1" applyBorder="1"/>
    <xf numFmtId="166" fontId="68" fillId="0" borderId="0" xfId="3" applyNumberFormat="1" applyFont="1"/>
    <xf numFmtId="166" fontId="81" fillId="0" borderId="0" xfId="3" applyNumberFormat="1" applyFont="1" applyFill="1" applyBorder="1"/>
    <xf numFmtId="166" fontId="64" fillId="8" borderId="0" xfId="3" applyNumberFormat="1" applyFont="1" applyFill="1"/>
    <xf numFmtId="166" fontId="82" fillId="0" borderId="0" xfId="3" applyNumberFormat="1" applyFont="1"/>
    <xf numFmtId="164" fontId="64" fillId="12" borderId="3" xfId="19" applyNumberFormat="1" applyFont="1" applyFill="1" applyBorder="1" applyAlignment="1">
      <alignment horizontal="center"/>
    </xf>
    <xf numFmtId="166" fontId="6" fillId="0" borderId="0" xfId="0" applyNumberFormat="1" applyFont="1"/>
    <xf numFmtId="0" fontId="83" fillId="0" borderId="0" xfId="0" applyFont="1"/>
    <xf numFmtId="164" fontId="83" fillId="0" borderId="0" xfId="19" applyNumberFormat="1" applyFont="1"/>
    <xf numFmtId="14" fontId="64" fillId="0" borderId="10" xfId="0" applyNumberFormat="1" applyFont="1" applyFill="1" applyBorder="1" applyAlignment="1">
      <alignment horizontal="center"/>
    </xf>
    <xf numFmtId="0" fontId="37" fillId="0" borderId="0" xfId="0" applyFont="1"/>
    <xf numFmtId="166" fontId="37" fillId="0" borderId="0" xfId="3" applyNumberFormat="1" applyFont="1"/>
    <xf numFmtId="0" fontId="64" fillId="4" borderId="0" xfId="0" applyFont="1" applyFill="1" applyAlignment="1" applyProtection="1">
      <alignment horizontal="left"/>
      <protection locked="0"/>
    </xf>
    <xf numFmtId="187" fontId="6" fillId="0" borderId="0" xfId="0" applyNumberFormat="1" applyFont="1"/>
    <xf numFmtId="164" fontId="6" fillId="0" borderId="0" xfId="19" applyNumberFormat="1" applyFont="1"/>
    <xf numFmtId="0" fontId="64" fillId="0" borderId="17" xfId="0" applyFont="1" applyBorder="1" applyAlignment="1"/>
    <xf numFmtId="0" fontId="6" fillId="0" borderId="19" xfId="0" applyFont="1" applyBorder="1"/>
    <xf numFmtId="0" fontId="64" fillId="0" borderId="20" xfId="0" applyFont="1" applyBorder="1" applyAlignment="1"/>
    <xf numFmtId="0" fontId="6" fillId="0" borderId="21" xfId="0" applyFont="1" applyBorder="1"/>
    <xf numFmtId="0" fontId="6" fillId="0" borderId="20" xfId="0" applyFont="1" applyBorder="1"/>
    <xf numFmtId="164" fontId="6" fillId="0" borderId="21" xfId="19" applyNumberFormat="1" applyFont="1" applyBorder="1"/>
    <xf numFmtId="166" fontId="6" fillId="0" borderId="0" xfId="3" applyNumberFormat="1" applyFont="1" applyBorder="1" applyAlignment="1" applyProtection="1">
      <alignment horizontal="left"/>
    </xf>
    <xf numFmtId="166" fontId="6" fillId="0" borderId="4" xfId="3" applyNumberFormat="1" applyFont="1" applyBorder="1" applyAlignment="1" applyProtection="1">
      <alignment horizontal="left"/>
    </xf>
    <xf numFmtId="189" fontId="6" fillId="0" borderId="0" xfId="0" applyNumberFormat="1" applyFont="1"/>
    <xf numFmtId="190" fontId="6" fillId="0" borderId="0" xfId="0" applyNumberFormat="1" applyFont="1"/>
    <xf numFmtId="164" fontId="68" fillId="0" borderId="21" xfId="19" applyNumberFormat="1" applyFont="1" applyBorder="1"/>
    <xf numFmtId="166" fontId="12" fillId="0" borderId="22" xfId="3" applyNumberFormat="1" applyFont="1" applyBorder="1"/>
    <xf numFmtId="164" fontId="6" fillId="0" borderId="23" xfId="19" applyNumberFormat="1" applyFont="1" applyBorder="1"/>
    <xf numFmtId="0" fontId="68" fillId="0" borderId="0" xfId="0" applyFont="1"/>
    <xf numFmtId="9" fontId="6" fillId="0" borderId="0" xfId="19" applyFont="1"/>
    <xf numFmtId="166" fontId="74" fillId="0" borderId="0" xfId="3" applyNumberFormat="1" applyFont="1"/>
    <xf numFmtId="0" fontId="81" fillId="0" borderId="0" xfId="0" applyFont="1"/>
    <xf numFmtId="166" fontId="81" fillId="0" borderId="0" xfId="3" applyNumberFormat="1" applyFont="1"/>
    <xf numFmtId="0" fontId="84" fillId="4" borderId="0" xfId="17" applyFont="1" applyFill="1" applyBorder="1"/>
    <xf numFmtId="0" fontId="12" fillId="0" borderId="0" xfId="0" applyFont="1" applyFill="1"/>
    <xf numFmtId="0" fontId="64" fillId="0" borderId="0" xfId="0" applyFont="1" applyFill="1" applyBorder="1"/>
    <xf numFmtId="37" fontId="12" fillId="0" borderId="0" xfId="18" applyFont="1" applyAlignment="1"/>
    <xf numFmtId="37" fontId="12" fillId="0" borderId="0" xfId="18" applyFont="1" applyAlignment="1">
      <alignment horizontal="right"/>
    </xf>
    <xf numFmtId="37" fontId="12" fillId="0" borderId="0" xfId="18" applyFont="1" applyFill="1" applyAlignment="1"/>
    <xf numFmtId="37" fontId="85" fillId="0" borderId="0" xfId="18" applyFont="1" applyBorder="1" applyAlignment="1"/>
    <xf numFmtId="37" fontId="85" fillId="0" borderId="0" xfId="18" applyFont="1" applyBorder="1" applyAlignment="1">
      <alignment horizontal="right"/>
    </xf>
    <xf numFmtId="37" fontId="12" fillId="0" borderId="0" xfId="18" applyFont="1" applyFill="1" applyAlignment="1">
      <alignment horizontal="right"/>
    </xf>
    <xf numFmtId="0" fontId="37" fillId="0" borderId="0" xfId="0" applyFont="1" applyBorder="1"/>
    <xf numFmtId="0" fontId="67" fillId="0" borderId="0" xfId="0" applyFont="1" applyBorder="1" applyAlignment="1" applyProtection="1">
      <alignment horizontal="left"/>
    </xf>
    <xf numFmtId="0" fontId="12" fillId="0" borderId="0" xfId="0" applyFont="1" applyFill="1" applyBorder="1"/>
    <xf numFmtId="166" fontId="64" fillId="0" borderId="24" xfId="3" applyNumberFormat="1" applyFont="1" applyBorder="1"/>
    <xf numFmtId="166" fontId="86" fillId="0" borderId="0" xfId="3" applyNumberFormat="1" applyFont="1" applyFill="1" applyBorder="1"/>
    <xf numFmtId="166" fontId="64" fillId="0" borderId="0" xfId="3" applyNumberFormat="1" applyFont="1" applyFill="1" applyBorder="1" applyProtection="1"/>
    <xf numFmtId="166" fontId="74" fillId="0" borderId="0" xfId="3" applyNumberFormat="1" applyFont="1" applyFill="1"/>
    <xf numFmtId="166" fontId="64" fillId="0" borderId="0" xfId="3" applyNumberFormat="1" applyFont="1" applyBorder="1"/>
    <xf numFmtId="166" fontId="6" fillId="0" borderId="0" xfId="3" applyNumberFormat="1" applyFont="1" applyBorder="1" applyProtection="1"/>
    <xf numFmtId="166" fontId="12" fillId="0" borderId="0" xfId="3" applyNumberFormat="1" applyFont="1" applyFill="1" applyBorder="1" applyProtection="1"/>
    <xf numFmtId="166" fontId="12" fillId="0" borderId="0" xfId="3" applyNumberFormat="1" applyFont="1" applyFill="1" applyBorder="1"/>
    <xf numFmtId="166" fontId="87" fillId="0" borderId="0" xfId="3" applyNumberFormat="1" applyFont="1" applyBorder="1" applyProtection="1"/>
    <xf numFmtId="166" fontId="88" fillId="0" borderId="0" xfId="3" applyNumberFormat="1" applyFont="1" applyFill="1" applyBorder="1" applyProtection="1"/>
    <xf numFmtId="0" fontId="64" fillId="0" borderId="0" xfId="0" applyFont="1" applyBorder="1" applyAlignment="1" applyProtection="1">
      <alignment horizontal="left"/>
    </xf>
    <xf numFmtId="166" fontId="64" fillId="0" borderId="0" xfId="3" applyNumberFormat="1" applyFont="1" applyBorder="1" applyProtection="1"/>
    <xf numFmtId="166" fontId="86" fillId="0" borderId="0" xfId="3" applyNumberFormat="1" applyFont="1" applyFill="1" applyBorder="1" applyProtection="1"/>
    <xf numFmtId="9" fontId="68" fillId="0" borderId="0" xfId="3" applyNumberFormat="1" applyFont="1" applyBorder="1"/>
    <xf numFmtId="9" fontId="12" fillId="0" borderId="0" xfId="3" applyNumberFormat="1" applyFont="1" applyFill="1" applyBorder="1"/>
    <xf numFmtId="166" fontId="6" fillId="0" borderId="0" xfId="3" applyNumberFormat="1" applyFont="1" applyFill="1" applyBorder="1" applyProtection="1"/>
    <xf numFmtId="38" fontId="6" fillId="0" borderId="0" xfId="4" applyNumberFormat="1" applyFont="1" applyFill="1" applyBorder="1" applyProtection="1"/>
    <xf numFmtId="166" fontId="64" fillId="0" borderId="5" xfId="3" quotePrefix="1" applyNumberFormat="1" applyFont="1" applyBorder="1" applyProtection="1"/>
    <xf numFmtId="166" fontId="86" fillId="0" borderId="0" xfId="3" quotePrefix="1" applyNumberFormat="1" applyFont="1" applyFill="1" applyBorder="1" applyProtection="1"/>
    <xf numFmtId="38" fontId="6" fillId="4" borderId="0" xfId="0" applyNumberFormat="1" applyFont="1" applyFill="1"/>
    <xf numFmtId="0" fontId="85" fillId="0" borderId="0" xfId="0" applyFont="1" applyFill="1" applyBorder="1"/>
    <xf numFmtId="38" fontId="68" fillId="11" borderId="0" xfId="0" applyNumberFormat="1" applyFont="1" applyFill="1"/>
    <xf numFmtId="0" fontId="46" fillId="0" borderId="0" xfId="0" applyFont="1" applyFill="1" applyBorder="1"/>
    <xf numFmtId="0" fontId="46" fillId="0" borderId="0" xfId="0" applyFont="1" applyFill="1"/>
    <xf numFmtId="38" fontId="6" fillId="8" borderId="0" xfId="0" applyNumberFormat="1" applyFont="1" applyFill="1"/>
    <xf numFmtId="38" fontId="46" fillId="0" borderId="0" xfId="3" applyNumberFormat="1" applyFont="1" applyFill="1"/>
    <xf numFmtId="38" fontId="46" fillId="0" borderId="0" xfId="3" applyNumberFormat="1" applyFont="1" applyFill="1" applyBorder="1"/>
    <xf numFmtId="38" fontId="64" fillId="0" borderId="0" xfId="0" applyNumberFormat="1" applyFont="1" applyFill="1"/>
    <xf numFmtId="38" fontId="64" fillId="0" borderId="0" xfId="0" applyNumberFormat="1" applyFont="1" applyFill="1" applyBorder="1"/>
    <xf numFmtId="38" fontId="6" fillId="0" borderId="0" xfId="3" applyNumberFormat="1" applyFont="1" applyFill="1" applyBorder="1"/>
    <xf numFmtId="38" fontId="68" fillId="0" borderId="0" xfId="0" applyNumberFormat="1" applyFont="1" applyFill="1"/>
    <xf numFmtId="38" fontId="66" fillId="0" borderId="0" xfId="0" applyNumberFormat="1" applyFont="1" applyFill="1"/>
    <xf numFmtId="0" fontId="66" fillId="0" borderId="0" xfId="0" applyFont="1" applyFill="1" applyBorder="1"/>
    <xf numFmtId="166" fontId="46" fillId="0" borderId="0" xfId="3" applyNumberFormat="1" applyFont="1" applyFill="1"/>
    <xf numFmtId="166" fontId="46" fillId="0" borderId="0" xfId="3" applyNumberFormat="1" applyFont="1" applyFill="1" applyBorder="1"/>
    <xf numFmtId="0" fontId="65" fillId="0" borderId="0" xfId="0" applyFont="1" applyFill="1"/>
    <xf numFmtId="38" fontId="6" fillId="8" borderId="0" xfId="3" applyNumberFormat="1" applyFont="1" applyFill="1"/>
    <xf numFmtId="38" fontId="68" fillId="0" borderId="4" xfId="3" applyNumberFormat="1" applyFont="1" applyFill="1" applyBorder="1"/>
    <xf numFmtId="38" fontId="64" fillId="0" borderId="0" xfId="3" applyNumberFormat="1" applyFont="1" applyFill="1" applyBorder="1"/>
    <xf numFmtId="38" fontId="6" fillId="0" borderId="4" xfId="3" applyNumberFormat="1" applyFont="1" applyFill="1" applyBorder="1"/>
    <xf numFmtId="38" fontId="68" fillId="0" borderId="0" xfId="3" applyNumberFormat="1" applyFont="1" applyFill="1"/>
    <xf numFmtId="38" fontId="66" fillId="0" borderId="0" xfId="3" applyNumberFormat="1" applyFont="1" applyFill="1"/>
    <xf numFmtId="168" fontId="6" fillId="0" borderId="0" xfId="3" applyNumberFormat="1" applyFont="1" applyFill="1"/>
    <xf numFmtId="166" fontId="37" fillId="0" borderId="0" xfId="3" applyNumberFormat="1" applyFont="1" applyBorder="1"/>
    <xf numFmtId="166" fontId="74" fillId="0" borderId="0" xfId="0" applyNumberFormat="1" applyFont="1" applyFill="1" applyBorder="1"/>
    <xf numFmtId="0" fontId="6" fillId="0" borderId="0" xfId="0" applyNumberFormat="1" applyFont="1" applyFill="1" applyBorder="1" applyAlignment="1">
      <alignment horizontal="left"/>
    </xf>
    <xf numFmtId="38" fontId="37" fillId="0" borderId="0" xfId="0" applyNumberFormat="1" applyFont="1" applyBorder="1"/>
    <xf numFmtId="166" fontId="89" fillId="0" borderId="0" xfId="3" applyNumberFormat="1" applyFont="1" applyBorder="1"/>
    <xf numFmtId="166" fontId="37" fillId="0" borderId="0" xfId="0" applyNumberFormat="1" applyFont="1" applyBorder="1"/>
    <xf numFmtId="10" fontId="89" fillId="0" borderId="0" xfId="0" applyNumberFormat="1" applyFont="1" applyBorder="1"/>
    <xf numFmtId="166" fontId="71" fillId="8" borderId="0" xfId="3" applyNumberFormat="1" applyFont="1" applyFill="1" applyBorder="1"/>
    <xf numFmtId="10" fontId="37" fillId="0" borderId="0" xfId="0" applyNumberFormat="1" applyFont="1" applyBorder="1"/>
    <xf numFmtId="166" fontId="87" fillId="0" borderId="0" xfId="3" applyNumberFormat="1" applyFont="1" applyBorder="1"/>
    <xf numFmtId="166" fontId="81" fillId="0" borderId="0" xfId="0" applyNumberFormat="1" applyFont="1" applyFill="1" applyBorder="1"/>
    <xf numFmtId="10" fontId="68" fillId="0" borderId="0" xfId="3" applyNumberFormat="1" applyFont="1" applyFill="1" applyBorder="1"/>
    <xf numFmtId="166" fontId="11" fillId="0" borderId="0" xfId="3" applyNumberFormat="1" applyFont="1" applyBorder="1" applyProtection="1"/>
    <xf numFmtId="166" fontId="68" fillId="0" borderId="0" xfId="3" applyNumberFormat="1" applyFont="1" applyBorder="1" applyProtection="1"/>
    <xf numFmtId="10" fontId="6" fillId="0" borderId="0" xfId="19" applyNumberFormat="1" applyFont="1" applyFill="1"/>
    <xf numFmtId="43" fontId="66" fillId="0" borderId="0" xfId="3" applyFont="1" applyFill="1"/>
    <xf numFmtId="43" fontId="6" fillId="0" borderId="0" xfId="3" applyFont="1" applyFill="1" applyBorder="1"/>
    <xf numFmtId="37" fontId="64" fillId="0" borderId="0" xfId="0" applyNumberFormat="1" applyFont="1" applyFill="1" applyBorder="1"/>
    <xf numFmtId="37" fontId="6" fillId="0" borderId="0" xfId="0" applyNumberFormat="1" applyFont="1" applyFill="1" applyBorder="1"/>
    <xf numFmtId="43" fontId="64" fillId="0" borderId="0" xfId="3" applyFont="1" applyFill="1" applyBorder="1" applyAlignment="1">
      <alignment horizontal="left"/>
    </xf>
    <xf numFmtId="0" fontId="90" fillId="0" borderId="0" xfId="0" applyFont="1" applyFill="1" applyBorder="1"/>
    <xf numFmtId="43" fontId="64" fillId="0" borderId="0" xfId="3" applyFont="1" applyFill="1" applyBorder="1"/>
    <xf numFmtId="166" fontId="6" fillId="0" borderId="0" xfId="0" applyNumberFormat="1" applyFont="1" applyBorder="1"/>
    <xf numFmtId="0" fontId="65" fillId="4" borderId="0" xfId="17" applyFont="1" applyFill="1" applyBorder="1"/>
    <xf numFmtId="0" fontId="66" fillId="0" borderId="0" xfId="17" applyFont="1" applyFill="1" applyBorder="1"/>
    <xf numFmtId="0" fontId="64" fillId="0" borderId="4" xfId="0" applyFont="1" applyBorder="1" applyAlignment="1">
      <alignment horizontal="center"/>
    </xf>
    <xf numFmtId="10" fontId="68" fillId="0" borderId="0" xfId="19" applyNumberFormat="1" applyFont="1" applyFill="1"/>
    <xf numFmtId="10" fontId="64" fillId="0" borderId="0" xfId="19" applyNumberFormat="1" applyFont="1" applyFill="1"/>
    <xf numFmtId="0" fontId="64" fillId="0" borderId="5" xfId="0" applyFont="1" applyBorder="1"/>
    <xf numFmtId="0" fontId="6" fillId="0" borderId="5" xfId="0" applyFont="1" applyBorder="1"/>
    <xf numFmtId="10" fontId="64" fillId="0" borderId="5" xfId="19" applyNumberFormat="1" applyFont="1" applyFill="1" applyBorder="1"/>
    <xf numFmtId="166" fontId="67" fillId="11" borderId="0" xfId="0" applyNumberFormat="1" applyFont="1" applyFill="1"/>
    <xf numFmtId="0" fontId="6" fillId="0" borderId="4" xfId="0" applyFont="1" applyFill="1" applyBorder="1" applyAlignment="1">
      <alignment horizontal="left"/>
    </xf>
    <xf numFmtId="38" fontId="87" fillId="0" borderId="0" xfId="3" applyNumberFormat="1" applyFont="1" applyFill="1"/>
    <xf numFmtId="0" fontId="77" fillId="0" borderId="0" xfId="0" applyFont="1" applyFill="1" applyBorder="1" applyAlignment="1">
      <alignment horizontal="center"/>
    </xf>
    <xf numFmtId="17" fontId="64" fillId="0" borderId="0" xfId="0" applyNumberFormat="1" applyFont="1" applyFill="1" applyBorder="1" applyAlignment="1">
      <alignment horizontal="center"/>
    </xf>
    <xf numFmtId="0" fontId="91" fillId="0" borderId="0" xfId="0" applyFont="1" applyBorder="1" applyAlignment="1" applyProtection="1">
      <alignment horizontal="left"/>
    </xf>
    <xf numFmtId="165" fontId="12" fillId="0" borderId="0" xfId="4" applyNumberFormat="1" applyFont="1" applyBorder="1" applyProtection="1"/>
    <xf numFmtId="165" fontId="6" fillId="0" borderId="0" xfId="4" applyNumberFormat="1" applyFont="1" applyBorder="1" applyProtection="1"/>
    <xf numFmtId="10" fontId="68" fillId="0" borderId="0" xfId="0" applyNumberFormat="1" applyFont="1" applyBorder="1"/>
    <xf numFmtId="165" fontId="64" fillId="0" borderId="0" xfId="4" applyNumberFormat="1" applyFont="1" applyBorder="1" applyProtection="1"/>
    <xf numFmtId="0" fontId="86" fillId="0" borderId="0" xfId="0" applyFont="1" applyBorder="1"/>
    <xf numFmtId="165" fontId="86" fillId="0" borderId="0" xfId="4" applyNumberFormat="1" applyFont="1" applyBorder="1" applyProtection="1"/>
    <xf numFmtId="166" fontId="6" fillId="11" borderId="0" xfId="3" applyNumberFormat="1" applyFont="1" applyFill="1"/>
    <xf numFmtId="40" fontId="46" fillId="0" borderId="0" xfId="3" applyNumberFormat="1" applyFont="1" applyFill="1"/>
    <xf numFmtId="166" fontId="64" fillId="0" borderId="0" xfId="3" applyNumberFormat="1" applyFont="1" applyFill="1" applyBorder="1"/>
    <xf numFmtId="166" fontId="87" fillId="0" borderId="0" xfId="3" applyNumberFormat="1" applyFont="1" applyFill="1"/>
    <xf numFmtId="0" fontId="12" fillId="0" borderId="0" xfId="0" applyFont="1" applyBorder="1" applyAlignment="1" applyProtection="1">
      <alignment horizontal="left"/>
    </xf>
    <xf numFmtId="41" fontId="6" fillId="0" borderId="0" xfId="0" applyNumberFormat="1" applyFont="1" applyBorder="1"/>
    <xf numFmtId="166" fontId="64" fillId="8" borderId="0" xfId="0" applyNumberFormat="1" applyFont="1" applyFill="1" applyBorder="1"/>
    <xf numFmtId="0" fontId="86" fillId="0" borderId="0" xfId="0" applyFont="1" applyBorder="1" applyAlignment="1" applyProtection="1">
      <alignment horizontal="left"/>
    </xf>
    <xf numFmtId="0" fontId="92" fillId="0" borderId="0" xfId="0" applyFont="1" applyBorder="1" applyAlignment="1" applyProtection="1">
      <alignment horizontal="left"/>
    </xf>
    <xf numFmtId="166" fontId="64" fillId="0" borderId="5" xfId="3" applyNumberFormat="1" applyFont="1" applyFill="1" applyBorder="1"/>
    <xf numFmtId="10" fontId="6" fillId="0" borderId="0" xfId="19" applyNumberFormat="1" applyFont="1"/>
    <xf numFmtId="166" fontId="71" fillId="0" borderId="25" xfId="3" applyNumberFormat="1" applyFont="1" applyBorder="1" applyAlignment="1">
      <alignment horizontal="centerContinuous"/>
    </xf>
    <xf numFmtId="166" fontId="71" fillId="0" borderId="26" xfId="3" applyNumberFormat="1" applyFont="1" applyBorder="1" applyAlignment="1">
      <alignment horizontal="centerContinuous"/>
    </xf>
    <xf numFmtId="166" fontId="71" fillId="0" borderId="27" xfId="3" applyNumberFormat="1" applyFont="1" applyBorder="1" applyAlignment="1">
      <alignment horizontal="centerContinuous"/>
    </xf>
    <xf numFmtId="0" fontId="67" fillId="0" borderId="6" xfId="0" applyFont="1" applyBorder="1" applyAlignment="1">
      <alignment horizontal="center"/>
    </xf>
    <xf numFmtId="0" fontId="64" fillId="0" borderId="25" xfId="0" applyFont="1" applyBorder="1" applyAlignment="1">
      <alignment horizontal="center"/>
    </xf>
    <xf numFmtId="0" fontId="64" fillId="0" borderId="26" xfId="0" applyFont="1" applyBorder="1" applyAlignment="1">
      <alignment horizontal="center"/>
    </xf>
    <xf numFmtId="0" fontId="64" fillId="0" borderId="27" xfId="0" applyFont="1" applyBorder="1" applyAlignment="1">
      <alignment horizontal="center"/>
    </xf>
    <xf numFmtId="0" fontId="74" fillId="0" borderId="0" xfId="0" applyFont="1" applyFill="1" applyBorder="1" applyAlignment="1">
      <alignment horizontal="center"/>
    </xf>
  </cellXfs>
  <cellStyles count="31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Percent" xfId="19" builtinId="5"/>
    <cellStyle name="Percent [2]" xfId="20"/>
    <cellStyle name="Standard_Anpassen der Amortisation" xfId="21"/>
    <cellStyle name="Total" xfId="22" builtinId="25" customBuiltin="1"/>
    <cellStyle name="uk" xfId="23"/>
    <cellStyle name="Un" xfId="24"/>
    <cellStyle name="Unprot" xfId="25"/>
    <cellStyle name="Unprot$" xfId="26"/>
    <cellStyle name="Unprot_CurrencySKorea" xfId="27"/>
    <cellStyle name="Unprotect" xfId="28"/>
    <cellStyle name="Währung [0]_Compiling Utility Macros" xfId="29"/>
    <cellStyle name="Währung_Compiling Utility Macros" xfId="3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323850</xdr:colOff>
          <xdr:row>26</xdr:row>
          <xdr:rowOff>19050</xdr:rowOff>
        </xdr:from>
        <xdr:to>
          <xdr:col>3</xdr:col>
          <xdr:colOff>533400</xdr:colOff>
          <xdr:row>29</xdr:row>
          <xdr:rowOff>0</xdr:rowOff>
        </xdr:to>
        <xdr:sp macro="" textlink="">
          <xdr:nvSpPr>
            <xdr:cNvPr id="7590" name="Button 422" hidden="1">
              <a:extLst>
                <a:ext uri="{63B3BB69-23CF-44E3-9099-C40C66FF867C}">
                  <a14:compatExt spid="_x0000_s7590"/>
                </a:ext>
                <a:ext uri="{FF2B5EF4-FFF2-40B4-BE49-F238E27FC236}">
                  <a16:creationId xmlns:a16="http://schemas.microsoft.com/office/drawing/2014/main" id="{52509A47-A815-B8F2-2378-C1228E1842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Equity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nco/Valuation/03-29-00/00%20O&amp;M%20analysis%20-%2000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Library" Target="ANALYSIS/ATPVBAEN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Genco/Valuation/05-08-00/Peaker%20Valuation%200508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riance"/>
      <sheetName val="Consol Summary"/>
      <sheetName val="WC Summ"/>
      <sheetName val="WC MO"/>
      <sheetName val="WC YTD"/>
      <sheetName val="WH Summ"/>
      <sheetName val="WH MO"/>
      <sheetName val="WH YTD"/>
      <sheetName val="Gl Summ"/>
      <sheetName val="Gl MO"/>
      <sheetName val="Gl YTD"/>
    </sheetNames>
    <sheetDataSet>
      <sheetData sheetId="0" refreshError="1"/>
      <sheetData sheetId="1">
        <row r="22">
          <cell r="D22">
            <v>0</v>
          </cell>
          <cell r="F22">
            <v>0</v>
          </cell>
          <cell r="G22">
            <v>0</v>
          </cell>
          <cell r="H22">
            <v>0</v>
          </cell>
        </row>
        <row r="23">
          <cell r="D23">
            <v>0</v>
          </cell>
          <cell r="F23">
            <v>0</v>
          </cell>
          <cell r="G23">
            <v>0</v>
          </cell>
          <cell r="H23">
            <v>0</v>
          </cell>
        </row>
        <row r="24">
          <cell r="D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D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D26">
            <v>0</v>
          </cell>
          <cell r="F26">
            <v>0</v>
          </cell>
          <cell r="G26">
            <v>0</v>
          </cell>
          <cell r="H26">
            <v>0</v>
          </cell>
        </row>
        <row r="27">
          <cell r="D27">
            <v>0</v>
          </cell>
          <cell r="F27">
            <v>0</v>
          </cell>
          <cell r="G27">
            <v>0</v>
          </cell>
          <cell r="H27">
            <v>0</v>
          </cell>
        </row>
        <row r="28">
          <cell r="D28">
            <v>0</v>
          </cell>
          <cell r="F28">
            <v>0</v>
          </cell>
          <cell r="G28">
            <v>0</v>
          </cell>
          <cell r="H28">
            <v>0</v>
          </cell>
        </row>
        <row r="29">
          <cell r="D29">
            <v>0</v>
          </cell>
          <cell r="F29">
            <v>0</v>
          </cell>
          <cell r="G29">
            <v>0</v>
          </cell>
          <cell r="H29">
            <v>0</v>
          </cell>
        </row>
        <row r="31">
          <cell r="D31">
            <v>0</v>
          </cell>
          <cell r="F31">
            <v>0</v>
          </cell>
          <cell r="G31">
            <v>0</v>
          </cell>
          <cell r="H31">
            <v>0</v>
          </cell>
        </row>
        <row r="33">
          <cell r="D33">
            <v>0</v>
          </cell>
          <cell r="F33">
            <v>0</v>
          </cell>
          <cell r="G33">
            <v>0</v>
          </cell>
          <cell r="H33">
            <v>0</v>
          </cell>
        </row>
        <row r="35">
          <cell r="D35">
            <v>0</v>
          </cell>
          <cell r="F35">
            <v>0</v>
          </cell>
          <cell r="G35">
            <v>0</v>
          </cell>
          <cell r="H35">
            <v>0</v>
          </cell>
        </row>
        <row r="38">
          <cell r="D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D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D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D41">
            <v>0</v>
          </cell>
          <cell r="F41">
            <v>0</v>
          </cell>
          <cell r="G41">
            <v>0</v>
          </cell>
          <cell r="H41">
            <v>0</v>
          </cell>
        </row>
        <row r="42">
          <cell r="D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D43">
            <v>0</v>
          </cell>
          <cell r="F43">
            <v>0</v>
          </cell>
          <cell r="G43">
            <v>0</v>
          </cell>
          <cell r="H43">
            <v>0</v>
          </cell>
        </row>
        <row r="44">
          <cell r="D44">
            <v>0</v>
          </cell>
          <cell r="F44">
            <v>0</v>
          </cell>
          <cell r="G44">
            <v>0</v>
          </cell>
          <cell r="H44">
            <v>0</v>
          </cell>
        </row>
        <row r="45">
          <cell r="D45">
            <v>0</v>
          </cell>
          <cell r="F45">
            <v>0</v>
          </cell>
          <cell r="G45">
            <v>0</v>
          </cell>
          <cell r="H45">
            <v>0</v>
          </cell>
        </row>
      </sheetData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"/>
      <sheetName val="VBA Functions and Subs"/>
      <sheetName val="Loc Table"/>
    </sheetNames>
    <definedNames>
      <definedName name="xirr"/>
    </definedNames>
    <sheetDataSet>
      <sheetData sheetId="0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Capacity Prices"/>
      <sheetName val="Assumptions"/>
      <sheetName val="Spark-Spread"/>
      <sheetName val="99 Acct Sumry"/>
      <sheetName val="00 Acct Sumry"/>
      <sheetName val="Consolidated"/>
      <sheetName val="Brownsville"/>
      <sheetName val="Caledonia"/>
      <sheetName val="New Albany"/>
      <sheetName val="Gleason"/>
      <sheetName val="Wheatland"/>
      <sheetName val="Wilton"/>
      <sheetName val="Depreciation"/>
      <sheetName val="Notes"/>
      <sheetName val="Process"/>
      <sheetName val="Changes"/>
      <sheetName val="Start Charge Matrix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G58"/>
  <sheetViews>
    <sheetView zoomScaleNormal="75" workbookViewId="0"/>
  </sheetViews>
  <sheetFormatPr defaultRowHeight="12.75"/>
  <cols>
    <col min="1" max="1" width="48.85546875" style="5" bestFit="1" customWidth="1"/>
    <col min="2" max="3" width="10.28515625" style="5" bestFit="1" customWidth="1"/>
    <col min="4" max="4" width="12.42578125" style="5" bestFit="1" customWidth="1"/>
    <col min="5" max="5" width="20.5703125" style="5" bestFit="1" customWidth="1"/>
    <col min="6" max="6" width="11.5703125" style="5" bestFit="1" customWidth="1"/>
    <col min="7" max="7" width="9.7109375" style="5" bestFit="1" customWidth="1"/>
    <col min="8" max="16384" width="9.140625" style="5"/>
  </cols>
  <sheetData>
    <row r="1" spans="1:7">
      <c r="A1" s="26"/>
    </row>
    <row r="2" spans="1:7">
      <c r="A2" s="27" t="s">
        <v>150</v>
      </c>
      <c r="B2" s="6"/>
      <c r="C2" s="6"/>
      <c r="D2" s="6"/>
    </row>
    <row r="4" spans="1:7" ht="13.5" thickBot="1"/>
    <row r="5" spans="1:7">
      <c r="A5" s="28" t="s">
        <v>1</v>
      </c>
      <c r="B5" s="29"/>
      <c r="C5" s="29"/>
      <c r="D5" s="29"/>
      <c r="E5" s="7"/>
      <c r="F5" s="7"/>
      <c r="G5" s="8"/>
    </row>
    <row r="6" spans="1:7">
      <c r="A6" s="30" t="s">
        <v>4</v>
      </c>
      <c r="B6" s="31" t="s">
        <v>5</v>
      </c>
      <c r="C6" s="32" t="s">
        <v>6</v>
      </c>
      <c r="D6" s="9"/>
      <c r="E6" s="33" t="s">
        <v>202</v>
      </c>
      <c r="F6" s="31" t="s">
        <v>5</v>
      </c>
      <c r="G6" s="34" t="s">
        <v>6</v>
      </c>
    </row>
    <row r="7" spans="1:7">
      <c r="A7" s="35" t="s">
        <v>7</v>
      </c>
      <c r="B7" s="36">
        <f>C7/$C$9</f>
        <v>0.56245126642896603</v>
      </c>
      <c r="C7" s="37">
        <f>B28</f>
        <v>451196.35681568435</v>
      </c>
      <c r="D7" s="22"/>
      <c r="E7" s="33" t="s">
        <v>203</v>
      </c>
      <c r="F7" s="42">
        <f>G7/G9</f>
        <v>1</v>
      </c>
      <c r="G7" s="43">
        <f>C9</f>
        <v>802196.35681568435</v>
      </c>
    </row>
    <row r="8" spans="1:7">
      <c r="A8" s="30" t="s">
        <v>10</v>
      </c>
      <c r="B8" s="39">
        <f>C8/$C$9</f>
        <v>0.43754873357103402</v>
      </c>
      <c r="C8" s="40">
        <f>E15</f>
        <v>351000</v>
      </c>
      <c r="D8" s="41"/>
      <c r="E8" s="38"/>
      <c r="G8" s="11"/>
    </row>
    <row r="9" spans="1:7" ht="13.5" thickBot="1">
      <c r="A9" s="44" t="s">
        <v>11</v>
      </c>
      <c r="B9" s="45">
        <f>SUM(B7:B8)</f>
        <v>1</v>
      </c>
      <c r="C9" s="46">
        <f>SUM(C7:C8)</f>
        <v>802196.35681568435</v>
      </c>
      <c r="D9" s="23"/>
      <c r="E9" s="47" t="s">
        <v>151</v>
      </c>
      <c r="F9" s="48">
        <f>SUM(F7:F7)</f>
        <v>1</v>
      </c>
      <c r="G9" s="49">
        <f>SUM(G7:G7)</f>
        <v>802196.35681568435</v>
      </c>
    </row>
    <row r="10" spans="1:7" ht="13.5" thickBot="1">
      <c r="A10" s="50"/>
      <c r="B10" s="51"/>
      <c r="C10" s="40"/>
      <c r="D10" s="9"/>
      <c r="E10" s="9"/>
      <c r="F10" s="52"/>
      <c r="G10" s="53"/>
    </row>
    <row r="11" spans="1:7">
      <c r="A11" s="28" t="s">
        <v>141</v>
      </c>
      <c r="B11" s="7"/>
      <c r="C11" s="7"/>
      <c r="D11" s="13"/>
      <c r="E11" s="7"/>
      <c r="F11" s="7"/>
      <c r="G11" s="8"/>
    </row>
    <row r="12" spans="1:7">
      <c r="A12" s="10"/>
      <c r="B12" s="54" t="s">
        <v>13</v>
      </c>
      <c r="C12" s="54" t="s">
        <v>14</v>
      </c>
      <c r="D12" s="54" t="s">
        <v>15</v>
      </c>
      <c r="E12" s="54" t="s">
        <v>16</v>
      </c>
      <c r="F12" s="14"/>
      <c r="G12" s="15"/>
    </row>
    <row r="13" spans="1:7">
      <c r="A13" s="55" t="s">
        <v>142</v>
      </c>
      <c r="B13" s="56"/>
      <c r="C13" s="56"/>
      <c r="D13" s="56"/>
      <c r="E13" s="9"/>
      <c r="F13" s="9"/>
      <c r="G13" s="11"/>
    </row>
    <row r="14" spans="1:7">
      <c r="A14" s="57" t="s">
        <v>129</v>
      </c>
      <c r="B14" s="58">
        <v>36892</v>
      </c>
      <c r="C14" s="9"/>
      <c r="D14" s="9"/>
      <c r="E14" s="9"/>
      <c r="F14" s="9"/>
      <c r="G14" s="11"/>
    </row>
    <row r="15" spans="1:7">
      <c r="A15" s="57" t="s">
        <v>17</v>
      </c>
      <c r="B15" s="59">
        <v>0</v>
      </c>
      <c r="C15" s="59">
        <v>55000</v>
      </c>
      <c r="D15" s="59">
        <v>296000</v>
      </c>
      <c r="E15" s="60">
        <f>SUM(B15:D15)</f>
        <v>351000</v>
      </c>
      <c r="F15" s="16"/>
      <c r="G15" s="17"/>
    </row>
    <row r="16" spans="1:7">
      <c r="A16" s="57" t="s">
        <v>18</v>
      </c>
      <c r="B16" s="61">
        <f>Debt!E98</f>
        <v>2.9952087611225187</v>
      </c>
      <c r="C16" s="61">
        <f>Debt!J98</f>
        <v>9.9958932238193015</v>
      </c>
      <c r="D16" s="61">
        <f>Debt!O98</f>
        <v>19.997262149212869</v>
      </c>
      <c r="E16" s="62"/>
      <c r="F16" s="16"/>
      <c r="G16" s="17"/>
    </row>
    <row r="17" spans="1:7">
      <c r="A17" s="57" t="s">
        <v>19</v>
      </c>
      <c r="B17" s="58">
        <v>37986</v>
      </c>
      <c r="C17" s="58">
        <v>40543</v>
      </c>
      <c r="D17" s="58">
        <v>44196</v>
      </c>
      <c r="E17" s="60"/>
      <c r="F17" s="9"/>
      <c r="G17" s="11"/>
    </row>
    <row r="18" spans="1:7">
      <c r="A18" s="57" t="s">
        <v>20</v>
      </c>
      <c r="B18" s="63" t="e">
        <f>Debt!E99</f>
        <v>#DIV/0!</v>
      </c>
      <c r="C18" s="63">
        <f>Debt!J99</f>
        <v>7.1548336755646815</v>
      </c>
      <c r="D18" s="63">
        <f>Debt!O99</f>
        <v>15.030609171800139</v>
      </c>
      <c r="E18" s="64"/>
      <c r="F18" s="9"/>
      <c r="G18" s="11"/>
    </row>
    <row r="19" spans="1:7">
      <c r="A19" s="57"/>
      <c r="B19" s="9"/>
      <c r="C19" s="9"/>
      <c r="D19" s="9"/>
      <c r="E19" s="60"/>
      <c r="F19" s="9"/>
      <c r="G19" s="11"/>
    </row>
    <row r="20" spans="1:7">
      <c r="A20" s="10" t="s">
        <v>200</v>
      </c>
      <c r="B20" s="65">
        <v>6.8000000000000005E-2</v>
      </c>
      <c r="C20" s="65">
        <v>6.5000000000000002E-2</v>
      </c>
      <c r="D20" s="65">
        <v>6.2E-2</v>
      </c>
      <c r="E20" s="66">
        <f>SUMPRODUCT(B20:D20,$B$15:$D$15)/E15</f>
        <v>6.2470085470085472E-2</v>
      </c>
      <c r="F20" s="9"/>
      <c r="G20" s="11"/>
    </row>
    <row r="21" spans="1:7">
      <c r="A21" s="67" t="s">
        <v>21</v>
      </c>
      <c r="B21" s="68">
        <v>2.2499999999999999E-2</v>
      </c>
      <c r="C21" s="68">
        <v>4.4999999999999998E-2</v>
      </c>
      <c r="D21" s="68">
        <v>0.05</v>
      </c>
      <c r="E21" s="69">
        <f>SUMPRODUCT(B21:D21,$B$15:$D$15)/E15</f>
        <v>4.921652421652422E-2</v>
      </c>
      <c r="F21" s="9"/>
      <c r="G21" s="11"/>
    </row>
    <row r="22" spans="1:7">
      <c r="A22" s="57" t="s">
        <v>205</v>
      </c>
      <c r="B22" s="18">
        <f>SUM(B20:B21)</f>
        <v>9.0499999999999997E-2</v>
      </c>
      <c r="C22" s="18">
        <f>SUM(C20:C21)</f>
        <v>0.11</v>
      </c>
      <c r="D22" s="18">
        <f>SUM(D20:D21)</f>
        <v>0.112</v>
      </c>
      <c r="E22" s="66">
        <f>SUMPRODUCT(B22:D22,$B$15:$D$15)/E15</f>
        <v>0.11168660968660969</v>
      </c>
      <c r="F22" s="9"/>
      <c r="G22" s="11"/>
    </row>
    <row r="23" spans="1:7">
      <c r="A23" s="10"/>
      <c r="B23" s="9"/>
      <c r="C23" s="9"/>
      <c r="D23" s="9"/>
      <c r="E23" s="18"/>
      <c r="F23" s="9"/>
      <c r="G23" s="11"/>
    </row>
    <row r="24" spans="1:7">
      <c r="A24" s="10" t="s">
        <v>23</v>
      </c>
      <c r="B24" s="70">
        <v>0.05</v>
      </c>
      <c r="C24" s="9"/>
      <c r="D24" s="9"/>
      <c r="E24" s="19"/>
      <c r="F24" s="20"/>
      <c r="G24" s="21"/>
    </row>
    <row r="25" spans="1:7">
      <c r="A25" s="10"/>
      <c r="B25" s="9"/>
      <c r="C25" s="9"/>
      <c r="D25" s="9"/>
      <c r="E25" s="9"/>
      <c r="F25" s="22"/>
      <c r="G25" s="11"/>
    </row>
    <row r="26" spans="1:7">
      <c r="A26" s="55" t="s">
        <v>143</v>
      </c>
      <c r="B26" s="9"/>
      <c r="C26" s="9"/>
      <c r="D26" s="9"/>
      <c r="E26" s="9"/>
      <c r="F26" s="9"/>
      <c r="G26" s="11"/>
    </row>
    <row r="27" spans="1:7">
      <c r="A27" s="57" t="s">
        <v>144</v>
      </c>
      <c r="B27" s="58">
        <v>36892</v>
      </c>
      <c r="C27" s="9"/>
      <c r="D27" s="9"/>
      <c r="E27" s="9"/>
      <c r="F27" s="9"/>
      <c r="G27" s="11"/>
    </row>
    <row r="28" spans="1:7">
      <c r="A28" s="57" t="s">
        <v>17</v>
      </c>
      <c r="B28" s="71">
        <v>451196.35681568435</v>
      </c>
      <c r="C28" s="9"/>
      <c r="D28" s="9"/>
      <c r="E28" s="9"/>
      <c r="F28" s="9"/>
      <c r="G28" s="11"/>
    </row>
    <row r="29" spans="1:7" ht="13.5" thickBot="1">
      <c r="A29" s="72" t="s">
        <v>196</v>
      </c>
      <c r="B29" s="73">
        <v>0.14000000000000001</v>
      </c>
      <c r="C29" s="23"/>
      <c r="D29" s="23"/>
      <c r="E29" s="23"/>
      <c r="F29" s="23"/>
      <c r="G29" s="24"/>
    </row>
    <row r="30" spans="1:7" ht="13.5" thickBot="1">
      <c r="A30" s="9"/>
      <c r="B30" s="9"/>
      <c r="C30" s="9"/>
      <c r="D30" s="9"/>
      <c r="E30" s="9"/>
      <c r="F30" s="9"/>
      <c r="G30" s="9"/>
    </row>
    <row r="31" spans="1:7">
      <c r="A31" s="74" t="s">
        <v>24</v>
      </c>
      <c r="B31" s="29"/>
      <c r="C31" s="75"/>
      <c r="D31" s="75"/>
      <c r="E31" s="7"/>
      <c r="F31" s="7"/>
      <c r="G31" s="8"/>
    </row>
    <row r="32" spans="1:7">
      <c r="A32" s="10"/>
      <c r="B32" s="76" t="s">
        <v>25</v>
      </c>
      <c r="C32" s="77"/>
      <c r="D32" s="9"/>
      <c r="E32" s="9"/>
      <c r="F32" s="9"/>
      <c r="G32" s="11"/>
    </row>
    <row r="33" spans="1:7">
      <c r="A33" s="10"/>
      <c r="B33" s="78">
        <v>2000</v>
      </c>
      <c r="C33" s="78" t="s">
        <v>26</v>
      </c>
      <c r="D33" s="78" t="s">
        <v>27</v>
      </c>
      <c r="E33" s="31" t="s">
        <v>28</v>
      </c>
      <c r="G33" s="11"/>
    </row>
    <row r="34" spans="1:7">
      <c r="A34" s="79" t="s">
        <v>29</v>
      </c>
      <c r="B34" s="9"/>
      <c r="C34" s="80"/>
      <c r="D34" s="80"/>
      <c r="E34" s="9"/>
      <c r="G34" s="11"/>
    </row>
    <row r="35" spans="1:7">
      <c r="A35" s="81" t="s">
        <v>228</v>
      </c>
      <c r="B35" s="53">
        <f>G7</f>
        <v>802196.35681568435</v>
      </c>
      <c r="C35" s="82">
        <v>15</v>
      </c>
      <c r="D35" s="83" t="s">
        <v>30</v>
      </c>
      <c r="E35" s="84">
        <v>0</v>
      </c>
      <c r="G35" s="11"/>
    </row>
    <row r="36" spans="1:7">
      <c r="A36" s="81"/>
      <c r="B36" s="53"/>
      <c r="C36" s="82"/>
      <c r="D36" s="83"/>
      <c r="E36" s="84"/>
      <c r="G36" s="11"/>
    </row>
    <row r="37" spans="1:7">
      <c r="A37" s="79" t="s">
        <v>33</v>
      </c>
      <c r="B37" s="25"/>
      <c r="C37" s="85"/>
      <c r="D37" s="85"/>
      <c r="E37" s="84"/>
      <c r="G37" s="11"/>
    </row>
    <row r="38" spans="1:7" ht="13.5" thickBot="1">
      <c r="A38" s="86" t="s">
        <v>174</v>
      </c>
      <c r="B38" s="88">
        <f>G7</f>
        <v>802196.35681568435</v>
      </c>
      <c r="C38" s="87">
        <v>30</v>
      </c>
      <c r="D38" s="89" t="s">
        <v>31</v>
      </c>
      <c r="E38" s="90">
        <v>0.1</v>
      </c>
      <c r="F38" s="89"/>
      <c r="G38" s="24"/>
    </row>
    <row r="39" spans="1:7" ht="13.5" thickBot="1"/>
    <row r="40" spans="1:7">
      <c r="A40" s="28" t="s">
        <v>37</v>
      </c>
      <c r="B40" s="7"/>
      <c r="C40" s="7"/>
      <c r="D40" s="7"/>
      <c r="E40" s="7"/>
      <c r="F40" s="7"/>
      <c r="G40" s="8"/>
    </row>
    <row r="41" spans="1:7">
      <c r="A41" s="10"/>
      <c r="B41" s="9"/>
      <c r="C41" s="9"/>
      <c r="D41" s="9"/>
      <c r="E41" s="9"/>
      <c r="F41" s="9"/>
      <c r="G41" s="11"/>
    </row>
    <row r="42" spans="1:7">
      <c r="A42" s="67" t="s">
        <v>0</v>
      </c>
      <c r="B42" s="91"/>
      <c r="C42" s="9"/>
      <c r="D42" s="31" t="s">
        <v>39</v>
      </c>
      <c r="E42" s="31" t="s">
        <v>40</v>
      </c>
      <c r="F42" s="9"/>
      <c r="G42" s="11"/>
    </row>
    <row r="43" spans="1:7">
      <c r="A43" s="10" t="s">
        <v>212</v>
      </c>
      <c r="B43" s="9"/>
      <c r="C43" s="9"/>
      <c r="D43" s="92">
        <f>Debt!D84</f>
        <v>2.2477837924144217</v>
      </c>
      <c r="E43" s="92">
        <f>Debt!D85</f>
        <v>3.1685566932151792</v>
      </c>
      <c r="F43" s="9"/>
      <c r="G43" s="11"/>
    </row>
    <row r="44" spans="1:7">
      <c r="A44" s="10"/>
      <c r="B44" s="9"/>
      <c r="C44" s="9"/>
      <c r="D44" s="9"/>
      <c r="E44" s="9"/>
      <c r="F44" s="9"/>
      <c r="G44" s="11"/>
    </row>
    <row r="45" spans="1:7">
      <c r="A45" s="10"/>
      <c r="B45" s="9"/>
      <c r="C45" s="9"/>
      <c r="D45" s="31"/>
      <c r="E45" s="31"/>
      <c r="F45" s="31"/>
      <c r="G45" s="11"/>
    </row>
    <row r="46" spans="1:7">
      <c r="A46" s="10" t="s">
        <v>207</v>
      </c>
      <c r="B46" s="9"/>
      <c r="C46" s="9"/>
      <c r="D46" s="53">
        <f>SUMPRODUCT(Assumptions!C9:E9,Assumptions!C10:E10)/SUM(Assumptions!C9:E9)</f>
        <v>11458.743073047859</v>
      </c>
      <c r="F46" s="53"/>
      <c r="G46" s="11"/>
    </row>
    <row r="47" spans="1:7">
      <c r="A47" s="10"/>
      <c r="B47" s="9"/>
      <c r="C47" s="9"/>
      <c r="D47" s="9"/>
      <c r="F47" s="9"/>
      <c r="G47" s="11"/>
    </row>
    <row r="48" spans="1:7">
      <c r="A48" s="10" t="s">
        <v>229</v>
      </c>
      <c r="B48" s="9"/>
      <c r="C48" s="9"/>
      <c r="D48" s="53">
        <f>SUM(Assumptions!C9:E9)</f>
        <v>1588</v>
      </c>
      <c r="F48" s="53"/>
      <c r="G48" s="11"/>
    </row>
    <row r="49" spans="1:7">
      <c r="A49" s="10"/>
      <c r="B49" s="9"/>
      <c r="C49" s="9"/>
      <c r="D49" s="53"/>
      <c r="E49" s="53"/>
      <c r="F49" s="53"/>
      <c r="G49" s="11"/>
    </row>
    <row r="50" spans="1:7">
      <c r="A50" s="10" t="s">
        <v>226</v>
      </c>
      <c r="B50" s="9"/>
      <c r="C50" s="9"/>
      <c r="D50" s="53">
        <f>CF!V31/D48</f>
        <v>199.28919665658447</v>
      </c>
      <c r="E50" s="9"/>
      <c r="F50" s="9"/>
      <c r="G50" s="11"/>
    </row>
    <row r="51" spans="1:7">
      <c r="A51" s="10"/>
      <c r="B51" s="9"/>
      <c r="C51" s="9"/>
      <c r="D51" s="9"/>
      <c r="E51" s="9"/>
      <c r="F51" s="9"/>
      <c r="G51" s="11"/>
    </row>
    <row r="52" spans="1:7">
      <c r="A52" s="10" t="s">
        <v>214</v>
      </c>
      <c r="B52" s="9"/>
      <c r="C52" s="9"/>
      <c r="D52" s="93">
        <f>CF!B33</f>
        <v>0.140120667219162</v>
      </c>
      <c r="E52" s="9"/>
      <c r="F52" s="9"/>
      <c r="G52" s="11"/>
    </row>
    <row r="53" spans="1:7">
      <c r="A53" s="10"/>
      <c r="B53" s="80"/>
      <c r="C53" s="12"/>
      <c r="D53" s="94"/>
      <c r="E53" s="9"/>
      <c r="F53" s="9"/>
      <c r="G53" s="11"/>
    </row>
    <row r="54" spans="1:7">
      <c r="A54" s="10"/>
      <c r="B54" s="31">
        <v>2001</v>
      </c>
      <c r="C54" s="31">
        <v>2002</v>
      </c>
      <c r="D54" s="31">
        <v>2003</v>
      </c>
      <c r="E54" s="31">
        <v>2004</v>
      </c>
      <c r="F54" s="31">
        <v>2005</v>
      </c>
      <c r="G54" s="11"/>
    </row>
    <row r="55" spans="1:7">
      <c r="A55" s="10" t="s">
        <v>134</v>
      </c>
      <c r="B55" s="53">
        <f>IS!B27</f>
        <v>102546.92426127098</v>
      </c>
      <c r="C55" s="53">
        <f>IS!C27</f>
        <v>107648.82828346235</v>
      </c>
      <c r="D55" s="53">
        <f>IS!D27</f>
        <v>113025.54002121292</v>
      </c>
      <c r="E55" s="53">
        <f>IS!E27</f>
        <v>118790.46139857352</v>
      </c>
      <c r="F55" s="53">
        <f>IS!F27</f>
        <v>124878.62511570231</v>
      </c>
      <c r="G55" s="11"/>
    </row>
    <row r="56" spans="1:7">
      <c r="A56" s="10" t="s">
        <v>135</v>
      </c>
      <c r="B56" s="53">
        <f>IS!B40</f>
        <v>24096.124498952551</v>
      </c>
      <c r="C56" s="53">
        <f>IS!C40</f>
        <v>27147.476880480433</v>
      </c>
      <c r="D56" s="53">
        <f>IS!D40</f>
        <v>30433.437677811096</v>
      </c>
      <c r="E56" s="53">
        <f>IS!E40</f>
        <v>33970.545048581342</v>
      </c>
      <c r="F56" s="53">
        <f>IS!F40</f>
        <v>38101.403246839647</v>
      </c>
      <c r="G56" s="11"/>
    </row>
    <row r="57" spans="1:7">
      <c r="A57" s="10" t="s">
        <v>132</v>
      </c>
      <c r="B57" s="53">
        <f>CF!C17</f>
        <v>63596.347693067422</v>
      </c>
      <c r="C57" s="53">
        <f>CF!D17</f>
        <v>68777.507590101639</v>
      </c>
      <c r="D57" s="53">
        <f>CF!E17</f>
        <v>74048.158327852201</v>
      </c>
      <c r="E57" s="53">
        <f>CF!F17</f>
        <v>75053.536937245663</v>
      </c>
      <c r="F57" s="53">
        <f>CF!G17</f>
        <v>80023.016303929558</v>
      </c>
      <c r="G57" s="11"/>
    </row>
    <row r="58" spans="1:7" ht="13.5" thickBot="1">
      <c r="A58" s="95" t="s">
        <v>133</v>
      </c>
      <c r="B58" s="88">
        <f>CF!C22</f>
        <v>54252.51892134903</v>
      </c>
      <c r="C58" s="88">
        <f>CF!D22</f>
        <v>68291.967377408975</v>
      </c>
      <c r="D58" s="88">
        <f>CF!E22</f>
        <v>73257.480553171205</v>
      </c>
      <c r="E58" s="88">
        <f>CF!F22</f>
        <v>69250.384272298354</v>
      </c>
      <c r="F58" s="88">
        <f>CF!G22</f>
        <v>67820.452921432443</v>
      </c>
      <c r="G58" s="24"/>
    </row>
  </sheetData>
  <pageMargins left="0.75" right="0.75" top="1" bottom="1" header="0.5" footer="0.5"/>
  <pageSetup scale="61" orientation="landscape" r:id="rId1"/>
  <headerFooter alignWithMargins="0">
    <oddHeader>&amp;L&amp;12Enron's Generation&amp;RCONFIDENTIAL</oddHeader>
    <oddFooter>&amp;L&amp;D&amp;C&amp;F&amp;RPage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590" r:id="rId4" name="Button 422">
              <controlPr defaultSize="0" print="0" autoFill="0" autoPict="0" macro="[0]!Equity">
                <anchor moveWithCells="1" sizeWithCells="1">
                  <from>
                    <xdr:col>2</xdr:col>
                    <xdr:colOff>323850</xdr:colOff>
                    <xdr:row>26</xdr:row>
                    <xdr:rowOff>19050</xdr:rowOff>
                  </from>
                  <to>
                    <xdr:col>3</xdr:col>
                    <xdr:colOff>533400</xdr:colOff>
                    <xdr:row>29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S101"/>
  <sheetViews>
    <sheetView zoomScaleNormal="75" workbookViewId="0">
      <pane xSplit="1" ySplit="5" topLeftCell="B6" activePane="bottomRight" state="frozen"/>
      <selection pane="topRight"/>
      <selection pane="bottomLeft"/>
      <selection pane="bottomRight" activeCell="B6" sqref="B6"/>
    </sheetView>
  </sheetViews>
  <sheetFormatPr defaultRowHeight="12.75"/>
  <cols>
    <col min="1" max="1" width="46.85546875" style="6" customWidth="1"/>
    <col min="2" max="21" width="10.7109375" style="6" customWidth="1"/>
    <col min="22" max="22" width="9.140625" style="96"/>
    <col min="23" max="23" width="11" style="96" bestFit="1" customWidth="1"/>
    <col min="24" max="25" width="9.140625" style="96"/>
    <col min="26" max="26" width="7.85546875" style="96" customWidth="1"/>
    <col min="27" max="16384" width="9.140625" style="96"/>
  </cols>
  <sheetData>
    <row r="1" spans="1:45"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</row>
    <row r="2" spans="1:45" ht="18">
      <c r="A2" s="157" t="s">
        <v>78</v>
      </c>
      <c r="B2" s="336"/>
      <c r="C2" s="336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</row>
    <row r="5" spans="1:45" ht="13.5" thickBot="1">
      <c r="A5" s="162" t="s">
        <v>49</v>
      </c>
      <c r="B5" s="163">
        <v>2001</v>
      </c>
      <c r="C5" s="163">
        <v>2002</v>
      </c>
      <c r="D5" s="163">
        <v>2003</v>
      </c>
      <c r="E5" s="163">
        <v>2004</v>
      </c>
      <c r="F5" s="163">
        <v>2005</v>
      </c>
      <c r="G5" s="163">
        <v>2006</v>
      </c>
      <c r="H5" s="163">
        <v>2007</v>
      </c>
      <c r="I5" s="163">
        <v>2008</v>
      </c>
      <c r="J5" s="163">
        <v>2009</v>
      </c>
      <c r="K5" s="163">
        <v>2010</v>
      </c>
      <c r="L5" s="163">
        <v>2011</v>
      </c>
      <c r="M5" s="163">
        <v>2012</v>
      </c>
      <c r="N5" s="163">
        <v>2013</v>
      </c>
      <c r="O5" s="163">
        <v>2014</v>
      </c>
      <c r="P5" s="163">
        <v>2015</v>
      </c>
      <c r="Q5" s="163">
        <v>2016</v>
      </c>
      <c r="R5" s="163">
        <v>2017</v>
      </c>
      <c r="S5" s="163">
        <v>2018</v>
      </c>
      <c r="T5" s="163">
        <v>2019</v>
      </c>
      <c r="U5" s="163">
        <v>2020</v>
      </c>
    </row>
    <row r="6" spans="1:45">
      <c r="A6" s="167"/>
      <c r="B6" s="168"/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</row>
    <row r="7" spans="1:45">
      <c r="A7" s="171" t="s">
        <v>50</v>
      </c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337"/>
      <c r="W7" s="337"/>
      <c r="X7" s="337"/>
      <c r="Y7" s="165">
        <f>SUM(Z7:AS7)-SUM(Z8:AS8)</f>
        <v>0</v>
      </c>
      <c r="Z7" s="166">
        <f>B10</f>
        <v>1579.9563105357154</v>
      </c>
      <c r="AA7" s="166">
        <f>C10</f>
        <v>1627.3549998517869</v>
      </c>
      <c r="AB7" s="166">
        <f>D10</f>
        <v>1676.1756498473405</v>
      </c>
      <c r="AC7" s="166">
        <f t="shared" ref="AC7:AS7" si="0">E10</f>
        <v>1726.4609193427605</v>
      </c>
      <c r="AD7" s="166">
        <f t="shared" si="0"/>
        <v>1778.2547469230433</v>
      </c>
      <c r="AE7" s="166">
        <f t="shared" si="0"/>
        <v>1831.6023893307347</v>
      </c>
      <c r="AF7" s="166">
        <f t="shared" si="0"/>
        <v>1886.5504610106568</v>
      </c>
      <c r="AG7" s="166">
        <f t="shared" si="0"/>
        <v>1943.1469748409763</v>
      </c>
      <c r="AH7" s="166">
        <f t="shared" si="0"/>
        <v>2001.441384086206</v>
      </c>
      <c r="AI7" s="166">
        <f t="shared" si="0"/>
        <v>2061.4846256087922</v>
      </c>
      <c r="AJ7" s="166">
        <f t="shared" si="0"/>
        <v>2123.3291643770558</v>
      </c>
      <c r="AK7" s="166">
        <f t="shared" si="0"/>
        <v>2187.0290393083674</v>
      </c>
      <c r="AL7" s="166">
        <f t="shared" si="0"/>
        <v>2252.6399104876177</v>
      </c>
      <c r="AM7" s="166">
        <f t="shared" si="0"/>
        <v>2320.219107802247</v>
      </c>
      <c r="AN7" s="166">
        <f t="shared" si="0"/>
        <v>2389.8256810363146</v>
      </c>
      <c r="AO7" s="166">
        <f t="shared" si="0"/>
        <v>2461.5204514674033</v>
      </c>
      <c r="AP7" s="166">
        <f t="shared" si="0"/>
        <v>2535.3660650114257</v>
      </c>
      <c r="AQ7" s="166">
        <f t="shared" si="0"/>
        <v>2611.4270469617682</v>
      </c>
      <c r="AR7" s="166">
        <f t="shared" si="0"/>
        <v>2689.7698583706215</v>
      </c>
      <c r="AS7" s="166">
        <f t="shared" si="0"/>
        <v>2770.4629541217396</v>
      </c>
    </row>
    <row r="8" spans="1:45">
      <c r="A8" s="173" t="s">
        <v>227</v>
      </c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W8" s="172"/>
      <c r="X8" s="5"/>
      <c r="Y8" s="391">
        <v>0</v>
      </c>
      <c r="Z8" s="338">
        <f>B17+1/3*B18</f>
        <v>1579.9563105357156</v>
      </c>
      <c r="AA8" s="338">
        <f>C17+1/3*C18</f>
        <v>1627.3549998517872</v>
      </c>
      <c r="AB8" s="338">
        <f>D17+1/3*D18</f>
        <v>1676.1756498473408</v>
      </c>
      <c r="AC8" s="338">
        <f t="shared" ref="AC8:AS8" si="1">E17+1/3*E18</f>
        <v>1726.4609193427605</v>
      </c>
      <c r="AD8" s="338">
        <f t="shared" si="1"/>
        <v>1778.2547469230433</v>
      </c>
      <c r="AE8" s="338">
        <f t="shared" si="1"/>
        <v>1831.6023893307347</v>
      </c>
      <c r="AF8" s="338">
        <f t="shared" si="1"/>
        <v>1886.5504610106568</v>
      </c>
      <c r="AG8" s="338">
        <f t="shared" si="1"/>
        <v>1943.1469748409766</v>
      </c>
      <c r="AH8" s="338">
        <f t="shared" si="1"/>
        <v>2001.4413840862062</v>
      </c>
      <c r="AI8" s="338">
        <f t="shared" si="1"/>
        <v>2061.4846256087922</v>
      </c>
      <c r="AJ8" s="338">
        <f t="shared" si="1"/>
        <v>2123.3291643770558</v>
      </c>
      <c r="AK8" s="338">
        <f t="shared" si="1"/>
        <v>2187.0290393083674</v>
      </c>
      <c r="AL8" s="338">
        <f t="shared" si="1"/>
        <v>2252.6399104876182</v>
      </c>
      <c r="AM8" s="338">
        <f t="shared" si="1"/>
        <v>2320.219107802247</v>
      </c>
      <c r="AN8" s="338">
        <f t="shared" si="1"/>
        <v>2389.8256810363146</v>
      </c>
      <c r="AO8" s="338">
        <f t="shared" si="1"/>
        <v>2461.5204514674033</v>
      </c>
      <c r="AP8" s="338">
        <f t="shared" si="1"/>
        <v>2535.3660650114257</v>
      </c>
      <c r="AQ8" s="338">
        <f t="shared" si="1"/>
        <v>2611.4270469617686</v>
      </c>
      <c r="AR8" s="338">
        <f t="shared" si="1"/>
        <v>2689.7698583706215</v>
      </c>
      <c r="AS8" s="338">
        <f t="shared" si="1"/>
        <v>2770.46295412174</v>
      </c>
    </row>
    <row r="9" spans="1:45">
      <c r="A9" s="175" t="s">
        <v>51</v>
      </c>
      <c r="B9" s="180">
        <f>'Power Price Assumption'!C32*Assumptions!$D$9*12</f>
        <v>32703.680019500003</v>
      </c>
      <c r="C9" s="180">
        <f>'Power Price Assumption'!D32*Assumptions!$D$9*12</f>
        <v>34437.60555310503</v>
      </c>
      <c r="D9" s="180">
        <f>'Power Price Assumption'!E32*Assumptions!$D$9*12</f>
        <v>36263.462568252646</v>
      </c>
      <c r="E9" s="180">
        <f>'Power Price Assumption'!F32*Assumptions!$D$9*12</f>
        <v>38186.125205806944</v>
      </c>
      <c r="F9" s="180">
        <f>'Power Price Assumption'!G32*Assumptions!$D$9*12</f>
        <v>40210.726030066122</v>
      </c>
      <c r="G9" s="180">
        <f>'Power Price Assumption'!H32*Assumptions!$D$9*12</f>
        <v>41027.476548845225</v>
      </c>
      <c r="H9" s="180">
        <f>'Power Price Assumption'!I32*Assumptions!$D$9*12</f>
        <v>41860.816706155776</v>
      </c>
      <c r="I9" s="180">
        <f>'Power Price Assumption'!J32*Assumptions!$D$9*12</f>
        <v>42711.083466713768</v>
      </c>
      <c r="J9" s="180">
        <f>'Power Price Assumption'!K32*Assumptions!$D$9*12</f>
        <v>43578.620639580855</v>
      </c>
      <c r="K9" s="180">
        <f>'Power Price Assumption'!L32*Assumptions!$D$9*12</f>
        <v>44463.779017184934</v>
      </c>
      <c r="L9" s="180">
        <f>'Power Price Assumption'!M32*Assumptions!$D$9*12</f>
        <v>45033.969458996071</v>
      </c>
      <c r="M9" s="180">
        <f>'Power Price Assumption'!N32*Assumptions!$D$9*12</f>
        <v>45611.471855551499</v>
      </c>
      <c r="N9" s="180">
        <f>'Power Price Assumption'!O32*Assumptions!$D$9*12</f>
        <v>46196.379973211093</v>
      </c>
      <c r="O9" s="180">
        <f>'Power Price Assumption'!P32*Assumptions!$D$9*12</f>
        <v>46788.788780767012</v>
      </c>
      <c r="P9" s="180">
        <f>'Power Price Assumption'!Q32*Assumptions!$D$9*12</f>
        <v>47388.794464863364</v>
      </c>
      <c r="Q9" s="180">
        <f>'Power Price Assumption'!R32*Assumptions!$D$9*12</f>
        <v>48105.317812997419</v>
      </c>
      <c r="R9" s="180">
        <f>'Power Price Assumption'!S32*Assumptions!$D$9*12</f>
        <v>48832.675066366217</v>
      </c>
      <c r="S9" s="180">
        <f>'Power Price Assumption'!T32*Assumptions!$D$9*12</f>
        <v>49571.030034708747</v>
      </c>
      <c r="T9" s="180">
        <f>'Power Price Assumption'!U32*Assumptions!$D$9*12</f>
        <v>50320.549004583765</v>
      </c>
      <c r="U9" s="180">
        <f>'Power Price Assumption'!V32*Assumptions!$D$9*12</f>
        <v>51081.400776819544</v>
      </c>
      <c r="V9" s="339"/>
      <c r="W9" s="172">
        <f>SUM(B9:U9)</f>
        <v>874373.75298407604</v>
      </c>
      <c r="X9" s="5"/>
      <c r="Y9" s="165"/>
      <c r="Z9" s="403">
        <f>Z7-Z8</f>
        <v>0</v>
      </c>
      <c r="AA9" s="403">
        <f t="shared" ref="AA9:AS9" si="2">AA7-AA8</f>
        <v>0</v>
      </c>
      <c r="AB9" s="403">
        <f t="shared" si="2"/>
        <v>0</v>
      </c>
      <c r="AC9" s="403">
        <f t="shared" si="2"/>
        <v>0</v>
      </c>
      <c r="AD9" s="403">
        <f t="shared" si="2"/>
        <v>0</v>
      </c>
      <c r="AE9" s="403">
        <f t="shared" si="2"/>
        <v>0</v>
      </c>
      <c r="AF9" s="403">
        <f t="shared" si="2"/>
        <v>0</v>
      </c>
      <c r="AG9" s="403">
        <f t="shared" si="2"/>
        <v>0</v>
      </c>
      <c r="AH9" s="403">
        <f t="shared" si="2"/>
        <v>0</v>
      </c>
      <c r="AI9" s="403">
        <f t="shared" si="2"/>
        <v>0</v>
      </c>
      <c r="AJ9" s="403">
        <f t="shared" si="2"/>
        <v>0</v>
      </c>
      <c r="AK9" s="403">
        <f t="shared" si="2"/>
        <v>0</v>
      </c>
      <c r="AL9" s="403">
        <f t="shared" si="2"/>
        <v>0</v>
      </c>
      <c r="AM9" s="403">
        <f t="shared" si="2"/>
        <v>0</v>
      </c>
      <c r="AN9" s="403">
        <f t="shared" si="2"/>
        <v>0</v>
      </c>
      <c r="AO9" s="403">
        <f t="shared" si="2"/>
        <v>0</v>
      </c>
      <c r="AP9" s="403">
        <f t="shared" si="2"/>
        <v>0</v>
      </c>
      <c r="AQ9" s="403">
        <f t="shared" si="2"/>
        <v>0</v>
      </c>
      <c r="AR9" s="403">
        <f t="shared" si="2"/>
        <v>0</v>
      </c>
      <c r="AS9" s="403">
        <f t="shared" si="2"/>
        <v>0</v>
      </c>
    </row>
    <row r="10" spans="1:45">
      <c r="A10" s="175" t="s">
        <v>52</v>
      </c>
      <c r="B10" s="161">
        <f>1/3*Assumptions!$D$18*Assumptions!$D$11*Assumptions!$D$8/1000*(1+Assumptions!$D$25)^(B5-2000)+Assumptions!$D$19*Assumptions!$D$17*(1+Assumptions!$D$25)^(B5-2000)/1000</f>
        <v>1579.9563105357154</v>
      </c>
      <c r="C10" s="161">
        <f>1/3*Assumptions!$D$18*Assumptions!$D$11*Assumptions!$D$8/1000*(1+Assumptions!$D$25)^(C5-2000)+Assumptions!$D$19*Assumptions!$D$17*(1+Assumptions!$D$25)^(C5-2000)/1000</f>
        <v>1627.3549998517869</v>
      </c>
      <c r="D10" s="161">
        <f>1/3*Assumptions!$D$18*Assumptions!$D$11*Assumptions!$D$8/1000*(1+Assumptions!$D$25)^(D5-2000)+Assumptions!$D$19*Assumptions!$D$17*(1+Assumptions!$D$25)^(D5-2000)/1000</f>
        <v>1676.1756498473405</v>
      </c>
      <c r="E10" s="161">
        <f>1/3*Assumptions!$D$18*Assumptions!$D$11*Assumptions!$D$8/1000*(1+Assumptions!$D$25)^(E5-2000)+Assumptions!$D$19*Assumptions!$D$17*(1+Assumptions!$D$25)^(E5-2000)/1000</f>
        <v>1726.4609193427605</v>
      </c>
      <c r="F10" s="161">
        <f>1/3*Assumptions!$D$18*Assumptions!$D$11*Assumptions!$D$8/1000*(1+Assumptions!$D$25)^(F5-2000)+Assumptions!$D$19*Assumptions!$D$17*(1+Assumptions!$D$25)^(F5-2000)/1000</f>
        <v>1778.2547469230433</v>
      </c>
      <c r="G10" s="161">
        <f>1/3*Assumptions!$D$18*Assumptions!$D$11*Assumptions!$D$8/1000*(1+Assumptions!$D$25)^(G5-2000)+Assumptions!$D$19*Assumptions!$D$17*(1+Assumptions!$D$25)^(G5-2000)/1000</f>
        <v>1831.6023893307347</v>
      </c>
      <c r="H10" s="161">
        <f>1/3*Assumptions!$D$18*Assumptions!$D$11*Assumptions!$D$8/1000*(1+Assumptions!$D$25)^(H5-2000)+Assumptions!$D$19*Assumptions!$D$17*(1+Assumptions!$D$25)^(H5-2000)/1000</f>
        <v>1886.5504610106568</v>
      </c>
      <c r="I10" s="161">
        <f>1/3*Assumptions!$D$18*Assumptions!$D$11*Assumptions!$D$8/1000*(1+Assumptions!$D$25)^(I5-2000)+Assumptions!$D$19*Assumptions!$D$17*(1+Assumptions!$D$25)^(I5-2000)/1000</f>
        <v>1943.1469748409763</v>
      </c>
      <c r="J10" s="161">
        <f>1/3*Assumptions!$D$18*Assumptions!$D$11*Assumptions!$D$8/1000*(1+Assumptions!$D$25)^(J5-2000)+Assumptions!$D$19*Assumptions!$D$17*(1+Assumptions!$D$25)^(J5-2000)/1000</f>
        <v>2001.441384086206</v>
      </c>
      <c r="K10" s="161">
        <f>1/3*Assumptions!$D$18*Assumptions!$D$11*Assumptions!$D$8/1000*(1+Assumptions!$D$25)^(K5-2000)+Assumptions!$D$19*Assumptions!$D$17*(1+Assumptions!$D$25)^(K5-2000)/1000</f>
        <v>2061.4846256087922</v>
      </c>
      <c r="L10" s="161">
        <f>1/3*Assumptions!$D$18*Assumptions!$D$11*Assumptions!$D$8/1000*(1+Assumptions!$D$25)^(L5-2000)+Assumptions!$D$19*Assumptions!$D$17*(1+Assumptions!$D$25)^(L5-2000)/1000</f>
        <v>2123.3291643770558</v>
      </c>
      <c r="M10" s="161">
        <f>1/3*Assumptions!$D$18*Assumptions!$D$11*Assumptions!$D$8/1000*(1+Assumptions!$D$25)^(M5-2000)+Assumptions!$D$19*Assumptions!$D$17*(1+Assumptions!$D$25)^(M5-2000)/1000</f>
        <v>2187.0290393083674</v>
      </c>
      <c r="N10" s="161">
        <f>1/3*Assumptions!$D$18*Assumptions!$D$11*Assumptions!$D$8/1000*(1+Assumptions!$D$25)^(N5-2000)+Assumptions!$D$19*Assumptions!$D$17*(1+Assumptions!$D$25)^(N5-2000)/1000</f>
        <v>2252.6399104876177</v>
      </c>
      <c r="O10" s="161">
        <f>1/3*Assumptions!$D$18*Assumptions!$D$11*Assumptions!$D$8/1000*(1+Assumptions!$D$25)^(O5-2000)+Assumptions!$D$19*Assumptions!$D$17*(1+Assumptions!$D$25)^(O5-2000)/1000</f>
        <v>2320.219107802247</v>
      </c>
      <c r="P10" s="161">
        <f>1/3*Assumptions!$D$18*Assumptions!$D$11*Assumptions!$D$8/1000*(1+Assumptions!$D$25)^(P5-2000)+Assumptions!$D$19*Assumptions!$D$17*(1+Assumptions!$D$25)^(P5-2000)/1000</f>
        <v>2389.8256810363146</v>
      </c>
      <c r="Q10" s="161">
        <f>1/3*Assumptions!$D$18*Assumptions!$D$11*Assumptions!$D$8/1000*(1+Assumptions!$D$25)^(Q5-2000)+Assumptions!$D$19*Assumptions!$D$17*(1+Assumptions!$D$25)^(Q5-2000)/1000</f>
        <v>2461.5204514674033</v>
      </c>
      <c r="R10" s="161">
        <f>1/3*Assumptions!$D$18*Assumptions!$D$11*Assumptions!$D$8/1000*(1+Assumptions!$D$25)^(R5-2000)+Assumptions!$D$19*Assumptions!$D$17*(1+Assumptions!$D$25)^(R5-2000)/1000</f>
        <v>2535.3660650114257</v>
      </c>
      <c r="S10" s="161">
        <f>1/3*Assumptions!$D$18*Assumptions!$D$11*Assumptions!$D$8/1000*(1+Assumptions!$D$25)^(S5-2000)+Assumptions!$D$19*Assumptions!$D$17*(1+Assumptions!$D$25)^(S5-2000)/1000</f>
        <v>2611.4270469617682</v>
      </c>
      <c r="T10" s="161">
        <f>1/3*Assumptions!$D$18*Assumptions!$D$11*Assumptions!$D$8/1000*(1+Assumptions!$D$25)^(T5-2000)+Assumptions!$D$19*Assumptions!$D$17*(1+Assumptions!$D$25)^(T5-2000)/1000</f>
        <v>2689.7698583706215</v>
      </c>
      <c r="U10" s="161">
        <f>1/3*Assumptions!$D$18*Assumptions!$D$11*Assumptions!$D$8/1000*(1+Assumptions!$D$25)^(U5-2000)+Assumptions!$D$19*Assumptions!$D$17*(1+Assumptions!$D$25)^(U5-2000)/1000</f>
        <v>2770.4629541217396</v>
      </c>
      <c r="V10" s="339"/>
      <c r="W10" s="172">
        <f>SUM(B10:U10)</f>
        <v>42454.017740322575</v>
      </c>
      <c r="X10" s="5"/>
      <c r="Y10" s="5"/>
      <c r="Z10" s="5"/>
      <c r="AA10" s="5"/>
      <c r="AB10" s="9"/>
      <c r="AC10" s="9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>
      <c r="A11" s="175"/>
      <c r="B11" s="339"/>
      <c r="C11" s="339"/>
      <c r="D11" s="339"/>
      <c r="E11" s="339"/>
      <c r="F11" s="339"/>
      <c r="G11" s="339"/>
      <c r="H11" s="339"/>
      <c r="I11" s="339"/>
      <c r="J11" s="339"/>
      <c r="K11" s="339"/>
      <c r="L11" s="339"/>
      <c r="M11" s="339"/>
      <c r="N11" s="339"/>
      <c r="O11" s="339"/>
      <c r="P11" s="339"/>
      <c r="Q11" s="339"/>
      <c r="R11" s="339"/>
      <c r="S11" s="339"/>
      <c r="T11" s="339"/>
      <c r="U11" s="339"/>
      <c r="V11" s="339"/>
      <c r="W11" s="172">
        <f>SUM(B11:U11)</f>
        <v>0</v>
      </c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</row>
    <row r="12" spans="1:45">
      <c r="A12" s="175" t="s">
        <v>152</v>
      </c>
      <c r="B12" s="272">
        <f>(SUM(B8:B10)-SUM(B16:B21))*'Summary Output'!$B$24/4</f>
        <v>381.47450349375003</v>
      </c>
      <c r="C12" s="272">
        <f>(SUM(C8:C10)-SUM(C16:C21))*'Summary Output'!$B$24/4</f>
        <v>400.85409026131288</v>
      </c>
      <c r="D12" s="272">
        <f>(SUM(D8:D10)-SUM(D16:D21))*'Summary Output'!$B$24/4</f>
        <v>421.5973687010831</v>
      </c>
      <c r="E12" s="272">
        <f>(SUM(E8:E10)-SUM(E16:E21))*'Summary Output'!$B$24/4</f>
        <v>443.77181539344957</v>
      </c>
      <c r="F12" s="272">
        <f>(SUM(F8:F10)-SUM(F16:F21))*'Summary Output'!$B$24/4</f>
        <v>467.55535258131516</v>
      </c>
      <c r="G12" s="272">
        <f>(SUM(G8:G10)-SUM(G16:G21))*'Summary Output'!$B$24/4</f>
        <v>475.31214150721866</v>
      </c>
      <c r="H12" s="272">
        <f>(SUM(H8:H10)-SUM(H16:H21))*'Summary Output'!$B$24/4</f>
        <v>482.62367538800009</v>
      </c>
      <c r="I12" s="272">
        <f>(SUM(I8:I10)-SUM(I16:I21))*'Summary Output'!$B$24/4</f>
        <v>490.87114851680656</v>
      </c>
      <c r="J12" s="272">
        <f>(SUM(J8:J10)-SUM(J16:J21))*'Summary Output'!$B$24/4</f>
        <v>500.55645333313169</v>
      </c>
      <c r="K12" s="272">
        <f>(SUM(K8:K10)-SUM(K16:K21))*'Summary Output'!$B$24/4</f>
        <v>511.40815641333387</v>
      </c>
      <c r="L12" s="272">
        <f>(SUM(L8:L10)-SUM(L16:L21))*'Summary Output'!$B$24/4</f>
        <v>515.52764874692878</v>
      </c>
      <c r="M12" s="272">
        <f>(SUM(M8:M10)-SUM(M16:M21))*'Summary Output'!$B$24/4</f>
        <v>521.64530699415593</v>
      </c>
      <c r="N12" s="272">
        <f>(SUM(N8:N10)-SUM(N16:N21))*'Summary Output'!$B$24/4</f>
        <v>527.8220782288937</v>
      </c>
      <c r="O12" s="272">
        <f>(SUM(O8:O10)-SUM(O16:O21))*'Summary Output'!$B$24/4</f>
        <v>534.05857068025523</v>
      </c>
      <c r="P12" s="272">
        <f>(SUM(P8:P10)-SUM(P16:P21))*'Summary Output'!$B$24/4</f>
        <v>540.3549655590798</v>
      </c>
      <c r="Q12" s="272">
        <f>(SUM(Q8:Q10)-SUM(Q16:Q21))*'Summary Output'!$B$24/4</f>
        <v>548.07172095320402</v>
      </c>
      <c r="R12" s="272">
        <f>(SUM(R8:R10)-SUM(R16:R21))*'Summary Output'!$B$24/4</f>
        <v>555.88670656903605</v>
      </c>
      <c r="S12" s="272">
        <f>(SUM(S8:S10)-SUM(S16:S21))*'Summary Output'!$B$24/4</f>
        <v>563.80085422050149</v>
      </c>
      <c r="T12" s="272">
        <f>(SUM(T8:T10)-SUM(T16:T21))*'Summary Output'!$B$24/4</f>
        <v>571.81509320753855</v>
      </c>
      <c r="U12" s="272">
        <f>(SUM(U8:U10)-SUM(U16:U21))*'Summary Output'!$B$24/4</f>
        <v>579.93034977999287</v>
      </c>
      <c r="V12" s="339"/>
      <c r="W12" s="172">
        <f>SUM(B12:U12)</f>
        <v>10034.938000528986</v>
      </c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</row>
    <row r="13" spans="1:45">
      <c r="A13" s="175" t="s">
        <v>53</v>
      </c>
      <c r="B13" s="204">
        <f t="shared" ref="B13:U13" si="3">SUM(B8:B12)</f>
        <v>34665.11083352947</v>
      </c>
      <c r="C13" s="204">
        <f t="shared" si="3"/>
        <v>36465.814643218124</v>
      </c>
      <c r="D13" s="204">
        <f t="shared" si="3"/>
        <v>38361.235586801071</v>
      </c>
      <c r="E13" s="204">
        <f t="shared" si="3"/>
        <v>40356.357940543152</v>
      </c>
      <c r="F13" s="204">
        <f t="shared" si="3"/>
        <v>42456.536129570479</v>
      </c>
      <c r="G13" s="204">
        <f t="shared" si="3"/>
        <v>43334.391079683177</v>
      </c>
      <c r="H13" s="204">
        <f t="shared" si="3"/>
        <v>44229.990842554434</v>
      </c>
      <c r="I13" s="204">
        <f t="shared" si="3"/>
        <v>45145.10159007155</v>
      </c>
      <c r="J13" s="204">
        <f t="shared" si="3"/>
        <v>46080.618477000193</v>
      </c>
      <c r="K13" s="204">
        <f t="shared" si="3"/>
        <v>47036.671799207055</v>
      </c>
      <c r="L13" s="204">
        <f t="shared" si="3"/>
        <v>47672.826272120059</v>
      </c>
      <c r="M13" s="204">
        <f t="shared" si="3"/>
        <v>48320.146201854026</v>
      </c>
      <c r="N13" s="204">
        <f t="shared" si="3"/>
        <v>48976.841961927603</v>
      </c>
      <c r="O13" s="204">
        <f t="shared" si="3"/>
        <v>49643.066459249509</v>
      </c>
      <c r="P13" s="204">
        <f t="shared" si="3"/>
        <v>50318.975111458763</v>
      </c>
      <c r="Q13" s="204">
        <f t="shared" si="3"/>
        <v>51114.909985418024</v>
      </c>
      <c r="R13" s="204">
        <f t="shared" si="3"/>
        <v>51923.927837946678</v>
      </c>
      <c r="S13" s="204">
        <f t="shared" si="3"/>
        <v>52746.257935891015</v>
      </c>
      <c r="T13" s="204">
        <f t="shared" si="3"/>
        <v>53582.133956161924</v>
      </c>
      <c r="U13" s="204">
        <f t="shared" si="3"/>
        <v>54431.794080721273</v>
      </c>
      <c r="V13" s="339"/>
      <c r="W13" s="172">
        <f>SUM(B13:U13)</f>
        <v>926862.70872492762</v>
      </c>
      <c r="X13" s="5"/>
      <c r="Y13" s="5"/>
      <c r="Z13" s="5"/>
      <c r="AA13" s="5"/>
      <c r="AB13" s="9"/>
      <c r="AC13" s="9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>
      <c r="A14" s="340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339"/>
      <c r="W14" s="172"/>
      <c r="X14" s="5"/>
      <c r="Y14" s="5"/>
      <c r="Z14" s="5"/>
      <c r="AA14" s="5"/>
      <c r="AB14" s="9"/>
      <c r="AC14" s="9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s="339" customFormat="1">
      <c r="A15" s="171" t="s">
        <v>54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96"/>
      <c r="W15" s="172"/>
      <c r="X15" s="5"/>
      <c r="Y15" s="5"/>
      <c r="Z15" s="5"/>
      <c r="AA15" s="5"/>
      <c r="AB15" s="9"/>
      <c r="AC15" s="9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s="339" customFormat="1">
      <c r="A16" s="175" t="s">
        <v>41</v>
      </c>
      <c r="B16" s="161">
        <f>Assumptions!D28*(1+Assumptions!$D$25)</f>
        <v>1561.2639942857145</v>
      </c>
      <c r="C16" s="172">
        <f>B16*(1+Assumptions!$D$25)</f>
        <v>1608.101914114286</v>
      </c>
      <c r="D16" s="172">
        <f>C16*(1+Assumptions!$D$25)</f>
        <v>1656.3449715377146</v>
      </c>
      <c r="E16" s="172">
        <f>D16*(1+Assumptions!$D$25)</f>
        <v>1706.0353206838461</v>
      </c>
      <c r="F16" s="172">
        <f>E16*(1+Assumptions!$D$25)</f>
        <v>1757.2163803043616</v>
      </c>
      <c r="G16" s="172">
        <f>F16*(1+Assumptions!$D$25)</f>
        <v>1809.9328717134924</v>
      </c>
      <c r="H16" s="172">
        <f>G16*(1+Assumptions!$D$25)</f>
        <v>1864.2308578648972</v>
      </c>
      <c r="I16" s="172">
        <f>H16*(1+Assumptions!$D$25)</f>
        <v>1920.1577836008441</v>
      </c>
      <c r="J16" s="172">
        <f>I16*(1+Assumptions!$D$25)</f>
        <v>1977.7625171088696</v>
      </c>
      <c r="K16" s="172">
        <f>J16*(1+Assumptions!$D$25)</f>
        <v>2037.0953926221357</v>
      </c>
      <c r="L16" s="172">
        <f>K16*(1+Assumptions!$D$25)</f>
        <v>2098.2082544007999</v>
      </c>
      <c r="M16" s="172">
        <f>L16*(1+Assumptions!$D$25)</f>
        <v>2161.154502032824</v>
      </c>
      <c r="N16" s="172">
        <f>M16*(1+Assumptions!$D$25)</f>
        <v>2225.9891370938089</v>
      </c>
      <c r="O16" s="172">
        <f>N16*(1+Assumptions!$D$25)</f>
        <v>2292.7688112066235</v>
      </c>
      <c r="P16" s="172">
        <f>O16*(1+Assumptions!$D$25)</f>
        <v>2361.551875542822</v>
      </c>
      <c r="Q16" s="172">
        <f>P16*(1+Assumptions!$D$25)</f>
        <v>2432.3984318091066</v>
      </c>
      <c r="R16" s="172">
        <f>Q16*(1+Assumptions!$D$25)</f>
        <v>2505.3703847633797</v>
      </c>
      <c r="S16" s="172">
        <f>R16*(1+Assumptions!$D$25)</f>
        <v>2580.531496306281</v>
      </c>
      <c r="T16" s="172">
        <f>S16*(1+Assumptions!$D$25)</f>
        <v>2657.9474411954698</v>
      </c>
      <c r="U16" s="172">
        <f>T16*(1+Assumptions!$D$25)</f>
        <v>2737.6858644313338</v>
      </c>
      <c r="V16" s="96"/>
      <c r="W16" s="172">
        <f t="shared" ref="W16:W22" si="4">SUM(B16:U16)</f>
        <v>41951.748202618604</v>
      </c>
      <c r="X16" s="5"/>
      <c r="Y16" s="5"/>
      <c r="Z16" s="5"/>
      <c r="AA16" s="5"/>
      <c r="AB16" s="9"/>
      <c r="AC16" s="9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 s="339" customFormat="1">
      <c r="A17" s="175" t="s">
        <v>42</v>
      </c>
      <c r="B17" s="161">
        <f>Assumptions!$D$29*(1+Assumptions!$D$25)</f>
        <v>1425.4563105357156</v>
      </c>
      <c r="C17" s="204">
        <f>B17*(1+Assumptions!$D$25)</f>
        <v>1468.2199998517872</v>
      </c>
      <c r="D17" s="204">
        <f>C17*(1+Assumptions!$D$25)</f>
        <v>1512.2665998473408</v>
      </c>
      <c r="E17" s="161">
        <f>Assumptions!$D$19*Assumptions!$D$23*(1+Assumptions!$D$25)^(E5-2000)/1000</f>
        <v>1557.6345978427605</v>
      </c>
      <c r="F17" s="161">
        <f>Assumptions!$D$19*Assumptions!$D$23*(1+Assumptions!$D$25)^(F5-2000)/1000</f>
        <v>1604.3636357780433</v>
      </c>
      <c r="G17" s="161">
        <f>Assumptions!$D$19*Assumptions!$D$23*(1+Assumptions!$D$25)^(G5-2000)/1000</f>
        <v>1652.4945448513847</v>
      </c>
      <c r="H17" s="161">
        <f>Assumptions!$D$19*Assumptions!$D$23*(1+Assumptions!$D$25)^(H5-2000)/1000</f>
        <v>1702.0693811969263</v>
      </c>
      <c r="I17" s="161">
        <f>Assumptions!$D$19*Assumptions!$D$23*(1+Assumptions!$D$25)^(I5-2000)/1000</f>
        <v>1753.131462632834</v>
      </c>
      <c r="J17" s="161">
        <f>Assumptions!$D$19*Assumptions!$D$23*(1+Assumptions!$D$25)^(J5-2000)/1000</f>
        <v>1805.7254065118193</v>
      </c>
      <c r="K17" s="161">
        <f>Assumptions!$D$19*Assumptions!$D$23*(1+Assumptions!$D$25)^(K5-2000)/1000</f>
        <v>1859.8971687071737</v>
      </c>
      <c r="L17" s="161">
        <f>Assumptions!$D$19*Assumptions!$D$23*(1+Assumptions!$D$25)^(L5-2000)/1000</f>
        <v>1915.694083768389</v>
      </c>
      <c r="M17" s="161">
        <f>Assumptions!$D$19*Assumptions!$D$23*(1+Assumptions!$D$25)^(M5-2000)/1000</f>
        <v>1973.1649062814404</v>
      </c>
      <c r="N17" s="161">
        <f>Assumptions!$D$19*Assumptions!$D$23*(1+Assumptions!$D$25)^(N5-2000)/1000</f>
        <v>2032.3598534698833</v>
      </c>
      <c r="O17" s="161">
        <f>Assumptions!$D$19*Assumptions!$D$23*(1+Assumptions!$D$25)^(O5-2000)/1000</f>
        <v>2093.3306490739801</v>
      </c>
      <c r="P17" s="161">
        <f>Assumptions!$D$19*Assumptions!$D$23*(1+Assumptions!$D$25)^(P5-2000)/1000</f>
        <v>2156.1305685461998</v>
      </c>
      <c r="Q17" s="161">
        <f>Assumptions!$D$19*Assumptions!$D$23*(1+Assumptions!$D$25)^(Q5-2000)/1000</f>
        <v>2220.8144856025851</v>
      </c>
      <c r="R17" s="161">
        <f>Assumptions!$D$19*Assumptions!$D$23*(1+Assumptions!$D$25)^(R5-2000)/1000</f>
        <v>2287.4389201706631</v>
      </c>
      <c r="S17" s="161">
        <f>Assumptions!$D$19*Assumptions!$D$23*(1+Assumptions!$D$25)^(S5-2000)/1000</f>
        <v>2356.0620877757829</v>
      </c>
      <c r="T17" s="161">
        <f>Assumptions!$D$19*Assumptions!$D$23*(1+Assumptions!$D$25)^(T5-2000)/1000</f>
        <v>2426.7439504090562</v>
      </c>
      <c r="U17" s="161">
        <f>Assumptions!$D$19*Assumptions!$D$23*(1+Assumptions!$D$25)^(U5-2000)/1000</f>
        <v>2499.5462689213277</v>
      </c>
      <c r="V17" s="96"/>
      <c r="W17" s="172">
        <f t="shared" si="4"/>
        <v>38302.544881775102</v>
      </c>
      <c r="X17" s="5"/>
      <c r="Y17" s="5"/>
      <c r="Z17" s="5"/>
      <c r="AA17" s="5"/>
      <c r="AB17" s="9"/>
      <c r="AC17" s="9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s="339" customFormat="1">
      <c r="A18" s="175" t="s">
        <v>217</v>
      </c>
      <c r="B18" s="161">
        <f>Assumptions!$D$24*Assumptions!$D$11*Assumptions!$D$8/1000*(1+Assumptions!$D$25)</f>
        <v>463.5</v>
      </c>
      <c r="C18" s="172">
        <f>B18*(1+Assumptions!$D$25)</f>
        <v>477.40500000000003</v>
      </c>
      <c r="D18" s="172">
        <f>C18*(1+Assumptions!$D$25)</f>
        <v>491.72715000000005</v>
      </c>
      <c r="E18" s="172">
        <f>D18*(1+Assumptions!$D$25)</f>
        <v>506.47896450000007</v>
      </c>
      <c r="F18" s="172">
        <f>E18*(1+Assumptions!$D$25)</f>
        <v>521.67333343500013</v>
      </c>
      <c r="G18" s="172">
        <f>F18*(1+Assumptions!$D$25)</f>
        <v>537.32353343805016</v>
      </c>
      <c r="H18" s="172">
        <f>G18*(1+Assumptions!$D$25)</f>
        <v>553.44323944119174</v>
      </c>
      <c r="I18" s="172">
        <f>H18*(1+Assumptions!$D$25)</f>
        <v>570.04653662442752</v>
      </c>
      <c r="J18" s="172">
        <f>I18*(1+Assumptions!$D$25)</f>
        <v>587.14793272316035</v>
      </c>
      <c r="K18" s="172">
        <f>J18*(1+Assumptions!$D$25)</f>
        <v>604.76237070485513</v>
      </c>
      <c r="L18" s="172">
        <f>K18*(1+Assumptions!$D$25)</f>
        <v>622.90524182600075</v>
      </c>
      <c r="M18" s="172">
        <f>L18*(1+Assumptions!$D$25)</f>
        <v>641.59239908078075</v>
      </c>
      <c r="N18" s="172">
        <f>M18*(1+Assumptions!$D$25)</f>
        <v>660.84017105320424</v>
      </c>
      <c r="O18" s="172">
        <f>N18*(1+Assumptions!$D$25)</f>
        <v>680.66537618480038</v>
      </c>
      <c r="P18" s="172">
        <f>O18*(1+Assumptions!$D$25)</f>
        <v>701.08533747034437</v>
      </c>
      <c r="Q18" s="172">
        <f>P18*(1+Assumptions!$D$25)</f>
        <v>722.11789759445469</v>
      </c>
      <c r="R18" s="172">
        <f>Q18*(1+Assumptions!$D$25)</f>
        <v>743.78143452228835</v>
      </c>
      <c r="S18" s="172">
        <f>R18*(1+Assumptions!$D$25)</f>
        <v>766.09487755795703</v>
      </c>
      <c r="T18" s="172">
        <f>S18*(1+Assumptions!$D$25)</f>
        <v>789.07772388469573</v>
      </c>
      <c r="U18" s="172">
        <f>T18*(1+Assumptions!$D$25)</f>
        <v>812.75005560123657</v>
      </c>
      <c r="V18" s="96"/>
      <c r="W18" s="172">
        <f t="shared" si="4"/>
        <v>12454.418575642445</v>
      </c>
      <c r="X18" s="5"/>
      <c r="Y18" s="5"/>
      <c r="Z18" s="5"/>
      <c r="AA18" s="5"/>
      <c r="AB18" s="9"/>
      <c r="AC18" s="9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s="339" customFormat="1">
      <c r="A19" s="175" t="s">
        <v>99</v>
      </c>
      <c r="B19" s="161">
        <f>Assumptions!D31*(1+Assumptions!$D$25)</f>
        <v>315.45574571428568</v>
      </c>
      <c r="C19" s="172">
        <f>B19*(1+Assumptions!$D$25)</f>
        <v>324.91941808571426</v>
      </c>
      <c r="D19" s="172">
        <f>C19*(1+Assumptions!$D$25)</f>
        <v>334.66700062828568</v>
      </c>
      <c r="E19" s="172">
        <f>D19*(1+Assumptions!$D$25)</f>
        <v>344.70701064713427</v>
      </c>
      <c r="F19" s="172">
        <f>E19*(1+Assumptions!$D$25)</f>
        <v>355.04822096654829</v>
      </c>
      <c r="G19" s="172">
        <f>F19*(1+Assumptions!$D$25)</f>
        <v>365.69966759554472</v>
      </c>
      <c r="H19" s="172">
        <f>G19*(1+Assumptions!$D$25)</f>
        <v>376.6706576234111</v>
      </c>
      <c r="I19" s="172">
        <f>H19*(1+Assumptions!$D$25)</f>
        <v>387.97077735211343</v>
      </c>
      <c r="J19" s="172">
        <f>I19*(1+Assumptions!$D$25)</f>
        <v>399.60990067267682</v>
      </c>
      <c r="K19" s="172">
        <f>J19*(1+Assumptions!$D$25)</f>
        <v>411.59819769285713</v>
      </c>
      <c r="L19" s="172">
        <f>K19*(1+Assumptions!$D$25)</f>
        <v>423.94614362364285</v>
      </c>
      <c r="M19" s="172">
        <f>L19*(1+Assumptions!$D$25)</f>
        <v>436.66452793235214</v>
      </c>
      <c r="N19" s="172">
        <f>M19*(1+Assumptions!$D$25)</f>
        <v>449.76446377032272</v>
      </c>
      <c r="O19" s="172">
        <f>N19*(1+Assumptions!$D$25)</f>
        <v>463.25739768343243</v>
      </c>
      <c r="P19" s="172">
        <f>O19*(1+Assumptions!$D$25)</f>
        <v>477.15511961393543</v>
      </c>
      <c r="Q19" s="172">
        <f>P19*(1+Assumptions!$D$25)</f>
        <v>491.46977320235351</v>
      </c>
      <c r="R19" s="172">
        <f>Q19*(1+Assumptions!$D$25)</f>
        <v>506.2138663984241</v>
      </c>
      <c r="S19" s="172">
        <f>R19*(1+Assumptions!$D$25)</f>
        <v>521.40028239037679</v>
      </c>
      <c r="T19" s="172">
        <f>S19*(1+Assumptions!$D$25)</f>
        <v>537.04229086208807</v>
      </c>
      <c r="U19" s="172">
        <f>T19*(1+Assumptions!$D$25)</f>
        <v>553.15355958795067</v>
      </c>
      <c r="V19" s="96"/>
      <c r="W19" s="172">
        <f t="shared" si="4"/>
        <v>8476.4140220434492</v>
      </c>
      <c r="X19" s="5"/>
      <c r="Y19" s="5"/>
      <c r="Z19" s="5"/>
      <c r="AA19" s="5"/>
      <c r="AB19" s="9"/>
      <c r="AC19" s="9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s="339" customFormat="1">
      <c r="A20" s="175" t="s">
        <v>170</v>
      </c>
      <c r="B20" s="341">
        <v>0</v>
      </c>
      <c r="C20" s="341">
        <v>117.98699999999999</v>
      </c>
      <c r="D20" s="341">
        <v>216.84299999999999</v>
      </c>
      <c r="E20" s="341">
        <v>295.98500000000001</v>
      </c>
      <c r="F20" s="341">
        <v>346.25099999999998</v>
      </c>
      <c r="G20" s="341">
        <v>468.65699999999998</v>
      </c>
      <c r="H20" s="341">
        <v>641.05899999999997</v>
      </c>
      <c r="I20" s="341">
        <v>753.23199999999997</v>
      </c>
      <c r="J20" s="341">
        <v>765.3</v>
      </c>
      <c r="K20" s="341">
        <v>699.25800000000004</v>
      </c>
      <c r="L20" s="341">
        <v>854.33299999999997</v>
      </c>
      <c r="M20" s="341">
        <v>854.3</v>
      </c>
      <c r="N20" s="341">
        <v>854.3</v>
      </c>
      <c r="O20" s="341">
        <v>854.3</v>
      </c>
      <c r="P20" s="341">
        <v>854.3</v>
      </c>
      <c r="Q20" s="341">
        <v>854.3</v>
      </c>
      <c r="R20" s="341">
        <v>854.3</v>
      </c>
      <c r="S20" s="341">
        <v>854.3</v>
      </c>
      <c r="T20" s="341">
        <v>854.3</v>
      </c>
      <c r="U20" s="341">
        <v>854.3</v>
      </c>
      <c r="V20" s="96"/>
      <c r="W20" s="172">
        <f t="shared" si="4"/>
        <v>12847.604999999996</v>
      </c>
    </row>
    <row r="21" spans="1:45">
      <c r="A21" s="175" t="s">
        <v>168</v>
      </c>
      <c r="B21" s="179">
        <v>0</v>
      </c>
      <c r="C21" s="179">
        <v>0</v>
      </c>
      <c r="D21" s="179">
        <v>0</v>
      </c>
      <c r="E21" s="179">
        <v>0</v>
      </c>
      <c r="F21" s="179">
        <v>0</v>
      </c>
      <c r="G21" s="179">
        <v>0</v>
      </c>
      <c r="H21" s="179">
        <v>0</v>
      </c>
      <c r="I21" s="179">
        <v>0</v>
      </c>
      <c r="J21" s="179">
        <v>0</v>
      </c>
      <c r="K21" s="179">
        <v>0</v>
      </c>
      <c r="L21" s="179">
        <v>0</v>
      </c>
      <c r="M21" s="179">
        <v>0</v>
      </c>
      <c r="N21" s="179">
        <v>0</v>
      </c>
      <c r="O21" s="179">
        <v>0</v>
      </c>
      <c r="P21" s="179">
        <v>0</v>
      </c>
      <c r="Q21" s="179">
        <v>0</v>
      </c>
      <c r="R21" s="179">
        <v>0</v>
      </c>
      <c r="S21" s="179">
        <v>0</v>
      </c>
      <c r="T21" s="179">
        <v>0</v>
      </c>
      <c r="U21" s="179">
        <v>0</v>
      </c>
      <c r="V21" s="172"/>
      <c r="W21" s="172">
        <f t="shared" si="4"/>
        <v>0</v>
      </c>
    </row>
    <row r="22" spans="1:45">
      <c r="A22" s="175" t="s">
        <v>55</v>
      </c>
      <c r="B22" s="161">
        <f t="shared" ref="B22:U22" si="5">SUM(B16:B21)</f>
        <v>3765.6760505357156</v>
      </c>
      <c r="C22" s="161">
        <f t="shared" si="5"/>
        <v>3996.6333320517879</v>
      </c>
      <c r="D22" s="161">
        <f t="shared" si="5"/>
        <v>4211.8487220133411</v>
      </c>
      <c r="E22" s="161">
        <f t="shared" si="5"/>
        <v>4410.8408936737405</v>
      </c>
      <c r="F22" s="161">
        <f t="shared" si="5"/>
        <v>4584.5525704839529</v>
      </c>
      <c r="G22" s="161">
        <f t="shared" si="5"/>
        <v>4834.1076175984717</v>
      </c>
      <c r="H22" s="161">
        <f t="shared" si="5"/>
        <v>5137.4731361264267</v>
      </c>
      <c r="I22" s="161">
        <f t="shared" si="5"/>
        <v>5384.5385602102187</v>
      </c>
      <c r="J22" s="161">
        <f t="shared" si="5"/>
        <v>5535.5457570165263</v>
      </c>
      <c r="K22" s="161">
        <f t="shared" si="5"/>
        <v>5612.6111297270209</v>
      </c>
      <c r="L22" s="161">
        <f t="shared" si="5"/>
        <v>5915.0867236188315</v>
      </c>
      <c r="M22" s="161">
        <f t="shared" si="5"/>
        <v>6066.8763353273971</v>
      </c>
      <c r="N22" s="161">
        <f t="shared" si="5"/>
        <v>6223.2536253872195</v>
      </c>
      <c r="O22" s="161">
        <f t="shared" si="5"/>
        <v>6384.3222341488372</v>
      </c>
      <c r="P22" s="161">
        <f t="shared" si="5"/>
        <v>6550.2229011733016</v>
      </c>
      <c r="Q22" s="161">
        <f t="shared" si="5"/>
        <v>6721.1005882085001</v>
      </c>
      <c r="R22" s="161">
        <f t="shared" si="5"/>
        <v>6897.1046058547554</v>
      </c>
      <c r="S22" s="161">
        <f t="shared" si="5"/>
        <v>7078.3887440303979</v>
      </c>
      <c r="T22" s="161">
        <f t="shared" si="5"/>
        <v>7265.1114063513096</v>
      </c>
      <c r="U22" s="161">
        <f t="shared" si="5"/>
        <v>7457.4357485418486</v>
      </c>
      <c r="W22" s="172">
        <f t="shared" si="4"/>
        <v>114032.73068207959</v>
      </c>
    </row>
    <row r="23" spans="1:45">
      <c r="A23" s="183"/>
      <c r="B23" s="404"/>
      <c r="C23" s="343"/>
      <c r="D23" s="342"/>
      <c r="E23" s="342"/>
      <c r="F23" s="342"/>
      <c r="G23" s="342"/>
      <c r="H23" s="342"/>
      <c r="I23" s="342"/>
      <c r="J23" s="342"/>
      <c r="K23" s="342"/>
      <c r="L23" s="342"/>
      <c r="M23" s="342"/>
      <c r="N23" s="342"/>
      <c r="O23" s="342"/>
      <c r="P23" s="342"/>
      <c r="Q23" s="342"/>
      <c r="R23" s="342"/>
      <c r="S23" s="342"/>
      <c r="T23" s="342"/>
      <c r="U23" s="342"/>
      <c r="V23" s="339"/>
      <c r="W23" s="172"/>
    </row>
    <row r="24" spans="1:45">
      <c r="A24" s="183"/>
      <c r="B24" s="342"/>
      <c r="C24" s="343"/>
      <c r="D24" s="342"/>
      <c r="E24" s="342"/>
      <c r="F24" s="342"/>
      <c r="G24" s="342"/>
      <c r="H24" s="342"/>
      <c r="I24" s="342"/>
      <c r="J24" s="342"/>
      <c r="K24" s="342"/>
      <c r="L24" s="342"/>
      <c r="M24" s="342"/>
      <c r="N24" s="342"/>
      <c r="O24" s="342"/>
      <c r="P24" s="342"/>
      <c r="Q24" s="342"/>
      <c r="R24" s="342"/>
      <c r="S24" s="342"/>
      <c r="T24" s="342"/>
      <c r="U24" s="342"/>
      <c r="V24" s="339"/>
      <c r="W24" s="172"/>
    </row>
    <row r="25" spans="1:45">
      <c r="A25" s="171" t="s">
        <v>56</v>
      </c>
      <c r="B25" s="168">
        <f t="shared" ref="B25:U25" si="6">B13-B22</f>
        <v>30899.434782993754</v>
      </c>
      <c r="C25" s="168">
        <f t="shared" si="6"/>
        <v>32469.181311166336</v>
      </c>
      <c r="D25" s="168">
        <f t="shared" si="6"/>
        <v>34149.386864787732</v>
      </c>
      <c r="E25" s="168">
        <f t="shared" si="6"/>
        <v>35945.517046869412</v>
      </c>
      <c r="F25" s="168">
        <f t="shared" si="6"/>
        <v>37871.983559086526</v>
      </c>
      <c r="G25" s="168">
        <f t="shared" si="6"/>
        <v>38500.283462084706</v>
      </c>
      <c r="H25" s="168">
        <f t="shared" si="6"/>
        <v>39092.517706428007</v>
      </c>
      <c r="I25" s="168">
        <f t="shared" si="6"/>
        <v>39760.563029861332</v>
      </c>
      <c r="J25" s="168">
        <f t="shared" si="6"/>
        <v>40545.072719983669</v>
      </c>
      <c r="K25" s="168">
        <f t="shared" si="6"/>
        <v>41424.060669480037</v>
      </c>
      <c r="L25" s="168">
        <f t="shared" si="6"/>
        <v>41757.739548501224</v>
      </c>
      <c r="M25" s="168">
        <f t="shared" si="6"/>
        <v>42253.269866526629</v>
      </c>
      <c r="N25" s="168">
        <f t="shared" si="6"/>
        <v>42753.588336540386</v>
      </c>
      <c r="O25" s="168">
        <f t="shared" si="6"/>
        <v>43258.744225100672</v>
      </c>
      <c r="P25" s="168">
        <f t="shared" si="6"/>
        <v>43768.752210285464</v>
      </c>
      <c r="Q25" s="168">
        <f t="shared" si="6"/>
        <v>44393.809397209523</v>
      </c>
      <c r="R25" s="168">
        <f t="shared" si="6"/>
        <v>45026.82323209192</v>
      </c>
      <c r="S25" s="168">
        <f t="shared" si="6"/>
        <v>45667.86919186062</v>
      </c>
      <c r="T25" s="168">
        <f t="shared" si="6"/>
        <v>46317.022549810616</v>
      </c>
      <c r="U25" s="168">
        <f t="shared" si="6"/>
        <v>46974.358332179421</v>
      </c>
      <c r="V25" s="307"/>
      <c r="W25" s="172">
        <f>SUM(B25:U25)</f>
        <v>812829.97804284806</v>
      </c>
    </row>
    <row r="26" spans="1:45">
      <c r="A26" s="171"/>
      <c r="B26" s="344"/>
      <c r="C26" s="345"/>
      <c r="D26" s="344"/>
      <c r="E26" s="344"/>
      <c r="F26" s="344"/>
      <c r="G26" s="344"/>
      <c r="H26" s="344"/>
      <c r="I26" s="344"/>
      <c r="J26" s="344"/>
      <c r="K26" s="344"/>
      <c r="L26" s="344"/>
      <c r="M26" s="344"/>
      <c r="N26" s="344"/>
      <c r="O26" s="344"/>
      <c r="P26" s="344"/>
      <c r="Q26" s="344"/>
      <c r="R26" s="344"/>
      <c r="S26" s="344"/>
      <c r="T26" s="344"/>
      <c r="U26" s="344"/>
      <c r="V26" s="307"/>
      <c r="W26" s="172"/>
    </row>
    <row r="27" spans="1:45" s="5" customFormat="1">
      <c r="A27" s="175" t="s">
        <v>57</v>
      </c>
      <c r="B27" s="161">
        <f>Depreciation!C21</f>
        <v>6498.6597536713753</v>
      </c>
      <c r="C27" s="161">
        <f>Depreciation!D21</f>
        <v>6498.6597536713753</v>
      </c>
      <c r="D27" s="161">
        <f>Depreciation!E21</f>
        <v>6498.6597536713753</v>
      </c>
      <c r="E27" s="161">
        <f>Depreciation!F21</f>
        <v>6498.6597536713753</v>
      </c>
      <c r="F27" s="161">
        <f>Depreciation!G21</f>
        <v>6498.6597536713753</v>
      </c>
      <c r="G27" s="161">
        <f>Depreciation!H21</f>
        <v>6498.6597536713753</v>
      </c>
      <c r="H27" s="161">
        <f>Depreciation!I21</f>
        <v>6498.6597536713753</v>
      </c>
      <c r="I27" s="161">
        <f>Depreciation!J21</f>
        <v>6498.6597536713753</v>
      </c>
      <c r="J27" s="161">
        <f>Depreciation!K21</f>
        <v>6498.6597536713753</v>
      </c>
      <c r="K27" s="161">
        <f>Depreciation!L21</f>
        <v>6498.6597536713753</v>
      </c>
      <c r="L27" s="161">
        <f>Depreciation!M21</f>
        <v>6498.6597536713753</v>
      </c>
      <c r="M27" s="161">
        <f>Depreciation!N21</f>
        <v>6498.6597536713753</v>
      </c>
      <c r="N27" s="161">
        <f>Depreciation!O21</f>
        <v>6498.6597536713753</v>
      </c>
      <c r="O27" s="161">
        <f>Depreciation!P21</f>
        <v>6498.6597536713753</v>
      </c>
      <c r="P27" s="161">
        <f>Depreciation!Q21</f>
        <v>6498.6597536713753</v>
      </c>
      <c r="Q27" s="161">
        <f>Depreciation!R21</f>
        <v>6498.6597536713753</v>
      </c>
      <c r="R27" s="161">
        <f>Depreciation!S21</f>
        <v>6498.6597536713753</v>
      </c>
      <c r="S27" s="161">
        <f>Depreciation!T21</f>
        <v>6498.6597536713753</v>
      </c>
      <c r="T27" s="161">
        <f>Depreciation!U21</f>
        <v>6498.6597536713753</v>
      </c>
      <c r="U27" s="161">
        <f>Depreciation!V21</f>
        <v>6498.6597536713753</v>
      </c>
      <c r="V27" s="96"/>
      <c r="W27" s="172">
        <f>SUM(B27:U27)</f>
        <v>129973.19507342756</v>
      </c>
      <c r="AB27" s="9"/>
      <c r="AC27" s="9"/>
    </row>
    <row r="28" spans="1:45">
      <c r="A28" s="175"/>
      <c r="B28" s="161"/>
      <c r="C28" s="172"/>
      <c r="D28" s="161"/>
      <c r="E28" s="161"/>
      <c r="F28" s="161"/>
      <c r="G28" s="161"/>
      <c r="H28" s="161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W28" s="172"/>
    </row>
    <row r="29" spans="1:45" s="339" customFormat="1">
      <c r="A29" s="171" t="s">
        <v>58</v>
      </c>
      <c r="B29" s="344">
        <f t="shared" ref="B29:U29" si="7">B25-B27</f>
        <v>24400.77502932238</v>
      </c>
      <c r="C29" s="344">
        <f t="shared" si="7"/>
        <v>25970.521557494962</v>
      </c>
      <c r="D29" s="344">
        <f t="shared" si="7"/>
        <v>27650.727111116357</v>
      </c>
      <c r="E29" s="344">
        <f t="shared" si="7"/>
        <v>29446.857293198038</v>
      </c>
      <c r="F29" s="344">
        <f t="shared" si="7"/>
        <v>31373.323805415152</v>
      </c>
      <c r="G29" s="344">
        <f t="shared" si="7"/>
        <v>32001.623708413332</v>
      </c>
      <c r="H29" s="344">
        <f t="shared" si="7"/>
        <v>32593.857952756633</v>
      </c>
      <c r="I29" s="344">
        <f t="shared" si="7"/>
        <v>33261.903276189958</v>
      </c>
      <c r="J29" s="344">
        <f t="shared" si="7"/>
        <v>34046.412966312295</v>
      </c>
      <c r="K29" s="344">
        <f t="shared" si="7"/>
        <v>34925.400915808663</v>
      </c>
      <c r="L29" s="344">
        <f t="shared" si="7"/>
        <v>35259.07979482985</v>
      </c>
      <c r="M29" s="344">
        <f t="shared" si="7"/>
        <v>35754.610112855255</v>
      </c>
      <c r="N29" s="344">
        <f t="shared" si="7"/>
        <v>36254.928582869012</v>
      </c>
      <c r="O29" s="344">
        <f t="shared" si="7"/>
        <v>36760.084471429298</v>
      </c>
      <c r="P29" s="344">
        <f t="shared" si="7"/>
        <v>37270.092456614089</v>
      </c>
      <c r="Q29" s="344">
        <f t="shared" si="7"/>
        <v>37895.149643538149</v>
      </c>
      <c r="R29" s="344">
        <f t="shared" si="7"/>
        <v>38528.163478420545</v>
      </c>
      <c r="S29" s="344">
        <f t="shared" si="7"/>
        <v>39169.209438189246</v>
      </c>
      <c r="T29" s="344">
        <f t="shared" si="7"/>
        <v>39818.362796139241</v>
      </c>
      <c r="U29" s="344">
        <f t="shared" si="7"/>
        <v>40475.698578508047</v>
      </c>
      <c r="V29" s="307"/>
      <c r="W29" s="172">
        <f>SUM(B29:U29)</f>
        <v>682856.78296942054</v>
      </c>
    </row>
    <row r="30" spans="1:45" s="339" customFormat="1">
      <c r="A30" s="171"/>
      <c r="B30" s="344"/>
      <c r="C30" s="344"/>
      <c r="D30" s="344"/>
      <c r="E30" s="344"/>
      <c r="F30" s="344"/>
      <c r="G30" s="344"/>
      <c r="H30" s="344"/>
      <c r="I30" s="344"/>
      <c r="J30" s="344"/>
      <c r="K30" s="344"/>
      <c r="L30" s="344"/>
      <c r="M30" s="344"/>
      <c r="N30" s="344"/>
      <c r="O30" s="344"/>
      <c r="P30" s="344"/>
      <c r="Q30" s="344"/>
      <c r="R30" s="344"/>
      <c r="S30" s="344"/>
      <c r="T30" s="344"/>
      <c r="U30" s="344"/>
      <c r="V30" s="307"/>
      <c r="W30" s="172"/>
    </row>
    <row r="31" spans="1:45" s="307" customFormat="1">
      <c r="A31" s="6" t="s">
        <v>59</v>
      </c>
      <c r="B31" s="161">
        <f>IS!B33*Allocation!$E$7</f>
        <v>11771.605542895701</v>
      </c>
      <c r="C31" s="161">
        <f>IS!C33*Allocation!$E$7</f>
        <v>11803.945118562997</v>
      </c>
      <c r="D31" s="161">
        <f>IS!D33*Allocation!$E$7</f>
        <v>11803.945118562997</v>
      </c>
      <c r="E31" s="161">
        <f>IS!E33*Allocation!$E$7</f>
        <v>11797.255622642226</v>
      </c>
      <c r="F31" s="161">
        <f>IS!F33*Allocation!$E$7</f>
        <v>11595.379150200622</v>
      </c>
      <c r="G31" s="161">
        <f>IS!G33*Allocation!$E$7</f>
        <v>11374.894841307263</v>
      </c>
      <c r="H31" s="161">
        <f>IS!H33*Allocation!$E$7</f>
        <v>11127.100164161997</v>
      </c>
      <c r="I31" s="161">
        <f>IS!I33*Allocation!$E$7</f>
        <v>10883.715819128167</v>
      </c>
      <c r="J31" s="161">
        <f>IS!J33*Allocation!$E$7</f>
        <v>10545.846489572539</v>
      </c>
      <c r="K31" s="161">
        <f>IS!K33*Allocation!$E$7</f>
        <v>10189.029940333954</v>
      </c>
      <c r="L31" s="161">
        <f>IS!L33*Allocation!$E$7</f>
        <v>9580.9143387285694</v>
      </c>
      <c r="M31" s="161">
        <f>IS!M33*Allocation!$E$7</f>
        <v>8606.8923186791344</v>
      </c>
      <c r="N31" s="161">
        <f>IS!N33*Allocation!$E$7</f>
        <v>7584.4631955695431</v>
      </c>
      <c r="O31" s="161">
        <f>IS!O33*Allocation!$E$7</f>
        <v>6586.2376239900295</v>
      </c>
      <c r="P31" s="161">
        <f>IS!P33*Allocation!$E$7</f>
        <v>5575.4316753440362</v>
      </c>
      <c r="Q31" s="161">
        <f>IS!Q33*Allocation!$E$7</f>
        <v>4527.8417981014827</v>
      </c>
      <c r="R31" s="161">
        <f>IS!R33*Allocation!$E$7</f>
        <v>3416.6663193816034</v>
      </c>
      <c r="S31" s="161">
        <f>IS!S33*Allocation!$E$7</f>
        <v>2368.9396989100651</v>
      </c>
      <c r="T31" s="161">
        <f>IS!T33*Allocation!$E$7</f>
        <v>1470.5366844885039</v>
      </c>
      <c r="U31" s="161">
        <f>IS!U33*Allocation!$E$7</f>
        <v>574.32156173067847</v>
      </c>
      <c r="V31" s="96"/>
      <c r="W31" s="172">
        <f>SUM(B31:U31)</f>
        <v>163184.9630222921</v>
      </c>
    </row>
    <row r="32" spans="1:45" s="307" customFormat="1">
      <c r="A32" s="6"/>
      <c r="B32" s="268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6"/>
      <c r="R32" s="346"/>
      <c r="S32" s="346"/>
      <c r="T32" s="346"/>
      <c r="U32" s="346"/>
      <c r="V32" s="96"/>
      <c r="W32" s="172"/>
    </row>
    <row r="33" spans="1:23">
      <c r="A33" s="171" t="s">
        <v>60</v>
      </c>
      <c r="B33" s="344">
        <f t="shared" ref="B33:U33" si="8">B29-B31</f>
        <v>12629.169486426679</v>
      </c>
      <c r="C33" s="344">
        <f t="shared" si="8"/>
        <v>14166.576438931965</v>
      </c>
      <c r="D33" s="344">
        <f t="shared" si="8"/>
        <v>15846.78199255336</v>
      </c>
      <c r="E33" s="344">
        <f t="shared" si="8"/>
        <v>17649.601670555814</v>
      </c>
      <c r="F33" s="344">
        <f t="shared" si="8"/>
        <v>19777.944655214531</v>
      </c>
      <c r="G33" s="344">
        <f t="shared" si="8"/>
        <v>20626.728867106067</v>
      </c>
      <c r="H33" s="344">
        <f t="shared" si="8"/>
        <v>21466.757788594638</v>
      </c>
      <c r="I33" s="344">
        <f t="shared" si="8"/>
        <v>22378.187457061791</v>
      </c>
      <c r="J33" s="344">
        <f t="shared" si="8"/>
        <v>23500.566476739754</v>
      </c>
      <c r="K33" s="344">
        <f t="shared" si="8"/>
        <v>24736.370975474711</v>
      </c>
      <c r="L33" s="344">
        <f t="shared" si="8"/>
        <v>25678.16545610128</v>
      </c>
      <c r="M33" s="344">
        <f t="shared" si="8"/>
        <v>27147.717794176118</v>
      </c>
      <c r="N33" s="344">
        <f t="shared" si="8"/>
        <v>28670.465387299468</v>
      </c>
      <c r="O33" s="344">
        <f t="shared" si="8"/>
        <v>30173.846847439268</v>
      </c>
      <c r="P33" s="344">
        <f t="shared" si="8"/>
        <v>31694.660781270053</v>
      </c>
      <c r="Q33" s="344">
        <f t="shared" si="8"/>
        <v>33367.307845436662</v>
      </c>
      <c r="R33" s="344">
        <f t="shared" si="8"/>
        <v>35111.49715903894</v>
      </c>
      <c r="S33" s="344">
        <f t="shared" si="8"/>
        <v>36800.269739279182</v>
      </c>
      <c r="T33" s="344">
        <f t="shared" si="8"/>
        <v>38347.826111650735</v>
      </c>
      <c r="U33" s="344">
        <f t="shared" si="8"/>
        <v>39901.377016777369</v>
      </c>
      <c r="V33" s="307"/>
      <c r="W33" s="172">
        <f>SUM(B33:U33)</f>
        <v>519671.81994712836</v>
      </c>
    </row>
    <row r="34" spans="1:23">
      <c r="A34" s="171"/>
      <c r="B34" s="344"/>
      <c r="C34" s="344"/>
      <c r="D34" s="344"/>
      <c r="E34" s="344"/>
      <c r="F34" s="344"/>
      <c r="G34" s="344"/>
      <c r="H34" s="344"/>
      <c r="I34" s="344"/>
      <c r="J34" s="344"/>
      <c r="K34" s="344"/>
      <c r="L34" s="344"/>
      <c r="M34" s="344"/>
      <c r="N34" s="344"/>
      <c r="O34" s="344"/>
      <c r="P34" s="344"/>
      <c r="Q34" s="344"/>
      <c r="R34" s="344"/>
      <c r="S34" s="344"/>
      <c r="T34" s="344"/>
      <c r="U34" s="344"/>
      <c r="V34" s="307"/>
      <c r="W34" s="172"/>
    </row>
    <row r="35" spans="1:23" s="307" customFormat="1">
      <c r="A35" s="175" t="s">
        <v>61</v>
      </c>
      <c r="B35" s="161">
        <f>B33*-Assumptions!$D$38</f>
        <v>-568.31262688920049</v>
      </c>
      <c r="C35" s="161">
        <f>C33*-Assumptions!$D$38</f>
        <v>-637.49593975193841</v>
      </c>
      <c r="D35" s="161">
        <f>D33*-Assumptions!$D$38</f>
        <v>-713.10518966490122</v>
      </c>
      <c r="E35" s="161">
        <f>E33*-Assumptions!$D$38</f>
        <v>-794.23207517501157</v>
      </c>
      <c r="F35" s="161">
        <f>F33*-Assumptions!$D$38</f>
        <v>-890.00750948465384</v>
      </c>
      <c r="G35" s="161">
        <f>G33*-Assumptions!$D$38</f>
        <v>-928.20279901977301</v>
      </c>
      <c r="H35" s="161">
        <f>H33*-Assumptions!$D$38</f>
        <v>-966.0041004867586</v>
      </c>
      <c r="I35" s="161">
        <f>I33*-Assumptions!$D$38</f>
        <v>-1007.0184355677806</v>
      </c>
      <c r="J35" s="161">
        <f>J33*-Assumptions!$D$38</f>
        <v>-1057.5254914532889</v>
      </c>
      <c r="K35" s="161">
        <f>K33*-Assumptions!$D$38</f>
        <v>-1113.136693896362</v>
      </c>
      <c r="L35" s="161">
        <f>L33*-Assumptions!$D$38</f>
        <v>-1155.5174455245576</v>
      </c>
      <c r="M35" s="161">
        <f>M33*-Assumptions!$D$38</f>
        <v>-1221.6473007379252</v>
      </c>
      <c r="N35" s="161">
        <f>N33*-Assumptions!$D$38</f>
        <v>-1290.1709424284761</v>
      </c>
      <c r="O35" s="161">
        <f>O33*-Assumptions!$D$38</f>
        <v>-1357.8231081347669</v>
      </c>
      <c r="P35" s="161">
        <f>P33*-Assumptions!$D$38</f>
        <v>-1426.2597351571524</v>
      </c>
      <c r="Q35" s="161">
        <f>Q33*-Assumptions!$D$38</f>
        <v>-1501.5288530446498</v>
      </c>
      <c r="R35" s="161">
        <f>R33*-Assumptions!$D$38</f>
        <v>-1580.0173721567521</v>
      </c>
      <c r="S35" s="161">
        <f>S33*-Assumptions!$D$38</f>
        <v>-1656.0121382675632</v>
      </c>
      <c r="T35" s="161">
        <f>T33*-Assumptions!$D$38</f>
        <v>-1725.652175024283</v>
      </c>
      <c r="U35" s="161">
        <f>U33*-Assumptions!$D$38</f>
        <v>-1795.5619657549817</v>
      </c>
      <c r="V35" s="96"/>
      <c r="W35" s="172">
        <f>SUM(B35:U35)</f>
        <v>-23385.231897620779</v>
      </c>
    </row>
    <row r="36" spans="1:23" s="307" customFormat="1">
      <c r="A36" s="175" t="s">
        <v>62</v>
      </c>
      <c r="B36" s="347">
        <f>(B33+B35)*-Assumptions!$D$37</f>
        <v>-4221.2999008381175</v>
      </c>
      <c r="C36" s="347">
        <f>(C33+C35)*-Assumptions!$D$37</f>
        <v>-4735.178174713009</v>
      </c>
      <c r="D36" s="347">
        <f>(D33+D35)*-Assumptions!$D$37</f>
        <v>-5296.7868810109603</v>
      </c>
      <c r="E36" s="347">
        <f>(E33+E35)*-Assumptions!$D$37</f>
        <v>-5899.3793583832803</v>
      </c>
      <c r="F36" s="347">
        <f>(F33+F35)*-Assumptions!$D$37</f>
        <v>-6610.7780010054566</v>
      </c>
      <c r="G36" s="347">
        <f>(G33+G35)*-Assumptions!$D$37</f>
        <v>-6894.4841238302015</v>
      </c>
      <c r="H36" s="347">
        <f>(H33+H35)*-Assumptions!$D$37</f>
        <v>-7175.2637908377565</v>
      </c>
      <c r="I36" s="347">
        <f>(I33+I35)*-Assumptions!$D$37</f>
        <v>-7479.9091575229031</v>
      </c>
      <c r="J36" s="347">
        <f>(J33+J35)*-Assumptions!$D$37</f>
        <v>-7855.0643448502624</v>
      </c>
      <c r="K36" s="347">
        <f>(K33+K35)*-Assumptions!$D$37</f>
        <v>-8268.1319985524224</v>
      </c>
      <c r="L36" s="347">
        <f>(L33+L35)*-Assumptions!$D$37</f>
        <v>-8582.9268037018519</v>
      </c>
      <c r="M36" s="347">
        <f>(M33+M35)*-Assumptions!$D$37</f>
        <v>-9074.1246727033667</v>
      </c>
      <c r="N36" s="347">
        <f>(N33+N35)*-Assumptions!$D$37</f>
        <v>-9583.1030557048471</v>
      </c>
      <c r="O36" s="347">
        <f>(O33+O35)*-Assumptions!$D$37</f>
        <v>-10085.608308756575</v>
      </c>
      <c r="P36" s="347">
        <f>(P33+P35)*-Assumptions!$D$37</f>
        <v>-10593.940366139514</v>
      </c>
      <c r="Q36" s="347">
        <f>(Q33+Q35)*-Assumptions!$D$37</f>
        <v>-11153.022647337204</v>
      </c>
      <c r="R36" s="347">
        <f>(R33+R35)*-Assumptions!$D$37</f>
        <v>-11736.017925408763</v>
      </c>
      <c r="S36" s="347">
        <f>(S33+S35)*-Assumptions!$D$37</f>
        <v>-12300.490160354066</v>
      </c>
      <c r="T36" s="347">
        <f>(T33+T35)*-Assumptions!$D$37</f>
        <v>-12817.760877819257</v>
      </c>
      <c r="U36" s="347">
        <f>(U33+U35)*-Assumptions!$D$37</f>
        <v>-13337.035267857835</v>
      </c>
      <c r="V36" s="96"/>
      <c r="W36" s="172">
        <f>SUM(B36:U36)</f>
        <v>-173700.30581732767</v>
      </c>
    </row>
    <row r="37" spans="1:23">
      <c r="B37" s="161"/>
      <c r="C37" s="172"/>
      <c r="D37" s="161"/>
      <c r="E37" s="161"/>
      <c r="F37" s="161"/>
      <c r="G37" s="161"/>
      <c r="H37" s="161"/>
      <c r="I37" s="161"/>
      <c r="J37" s="161"/>
      <c r="K37" s="161"/>
      <c r="L37" s="161"/>
      <c r="M37" s="161"/>
      <c r="N37" s="161"/>
      <c r="O37" s="161"/>
      <c r="P37" s="161"/>
      <c r="Q37" s="161"/>
      <c r="R37" s="161"/>
      <c r="S37" s="161"/>
      <c r="T37" s="161"/>
      <c r="U37" s="161"/>
      <c r="W37" s="172"/>
    </row>
    <row r="38" spans="1:23" ht="15.75">
      <c r="A38" s="186" t="s">
        <v>189</v>
      </c>
      <c r="B38" s="348">
        <f t="shared" ref="B38:U38" si="9">SUM(B33:B36)</f>
        <v>7839.5569586993606</v>
      </c>
      <c r="C38" s="348">
        <f t="shared" si="9"/>
        <v>8793.902324467017</v>
      </c>
      <c r="D38" s="348">
        <f t="shared" si="9"/>
        <v>9836.8899218775005</v>
      </c>
      <c r="E38" s="348">
        <f t="shared" si="9"/>
        <v>10955.990236997521</v>
      </c>
      <c r="F38" s="348">
        <f t="shared" si="9"/>
        <v>12277.159144724421</v>
      </c>
      <c r="G38" s="348">
        <f t="shared" si="9"/>
        <v>12804.041944256091</v>
      </c>
      <c r="H38" s="348">
        <f t="shared" si="9"/>
        <v>13325.489897270121</v>
      </c>
      <c r="I38" s="348">
        <f t="shared" si="9"/>
        <v>13891.259863971107</v>
      </c>
      <c r="J38" s="348">
        <f t="shared" si="9"/>
        <v>14587.976640436202</v>
      </c>
      <c r="K38" s="348">
        <f t="shared" si="9"/>
        <v>15355.102283025926</v>
      </c>
      <c r="L38" s="348">
        <f t="shared" si="9"/>
        <v>15939.72120687487</v>
      </c>
      <c r="M38" s="348">
        <f t="shared" si="9"/>
        <v>16851.945820734829</v>
      </c>
      <c r="N38" s="348">
        <f t="shared" si="9"/>
        <v>17797.191389166146</v>
      </c>
      <c r="O38" s="348">
        <f t="shared" si="9"/>
        <v>18730.415430547928</v>
      </c>
      <c r="P38" s="348">
        <f t="shared" si="9"/>
        <v>19674.460679973388</v>
      </c>
      <c r="Q38" s="348">
        <f t="shared" si="9"/>
        <v>20712.756345054811</v>
      </c>
      <c r="R38" s="348">
        <f t="shared" si="9"/>
        <v>21795.461861473421</v>
      </c>
      <c r="S38" s="348">
        <f t="shared" si="9"/>
        <v>22843.767440657553</v>
      </c>
      <c r="T38" s="348">
        <f t="shared" si="9"/>
        <v>23804.413058807193</v>
      </c>
      <c r="U38" s="348">
        <f t="shared" si="9"/>
        <v>24768.779783164551</v>
      </c>
      <c r="V38" s="349"/>
      <c r="W38" s="172">
        <f>SUM(B38:U38)</f>
        <v>322586.28223217995</v>
      </c>
    </row>
    <row r="39" spans="1:23" s="307" customFormat="1">
      <c r="A39" s="340"/>
      <c r="B39" s="350"/>
      <c r="C39" s="351"/>
      <c r="D39" s="350"/>
      <c r="E39" s="350"/>
      <c r="F39" s="350"/>
      <c r="G39" s="350"/>
      <c r="H39" s="350"/>
      <c r="I39" s="350"/>
      <c r="J39" s="350"/>
      <c r="K39" s="350"/>
      <c r="L39" s="350"/>
      <c r="M39" s="350"/>
      <c r="N39" s="350"/>
      <c r="O39" s="350"/>
      <c r="P39" s="350"/>
      <c r="Q39" s="350"/>
      <c r="R39" s="350"/>
      <c r="S39" s="350"/>
      <c r="T39" s="350"/>
      <c r="U39" s="350"/>
      <c r="V39" s="339"/>
      <c r="W39" s="339"/>
    </row>
    <row r="40" spans="1:23" s="307" customFormat="1">
      <c r="A40" s="171"/>
      <c r="B40" s="204"/>
      <c r="C40" s="208"/>
      <c r="D40" s="204"/>
      <c r="E40" s="204"/>
      <c r="F40" s="204"/>
      <c r="G40" s="204"/>
      <c r="H40" s="204"/>
      <c r="I40" s="204"/>
      <c r="J40" s="204"/>
      <c r="K40" s="204"/>
      <c r="L40" s="204"/>
      <c r="M40" s="204"/>
      <c r="N40" s="204"/>
      <c r="O40" s="204"/>
      <c r="P40" s="204"/>
      <c r="Q40" s="204"/>
      <c r="R40" s="204"/>
      <c r="S40" s="204"/>
      <c r="T40" s="204"/>
      <c r="U40" s="204"/>
      <c r="V40" s="96"/>
      <c r="W40" s="96"/>
    </row>
    <row r="41" spans="1:23">
      <c r="A41" s="266"/>
      <c r="B41" s="204"/>
      <c r="C41" s="204"/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04"/>
      <c r="O41" s="204"/>
      <c r="P41" s="204"/>
      <c r="Q41" s="204"/>
      <c r="R41" s="204"/>
      <c r="S41" s="204"/>
      <c r="T41" s="204"/>
      <c r="U41" s="204"/>
    </row>
    <row r="42" spans="1:23" ht="18">
      <c r="A42" s="352" t="s">
        <v>79</v>
      </c>
      <c r="B42" s="204"/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</row>
    <row r="43" spans="1:23">
      <c r="A43" s="171"/>
      <c r="B43" s="204"/>
      <c r="C43" s="204"/>
      <c r="D43" s="204"/>
      <c r="E43" s="204"/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</row>
    <row r="44" spans="1:23" s="349" customFormat="1" ht="15.75">
      <c r="A44" s="171"/>
      <c r="B44" s="204"/>
      <c r="C44" s="204"/>
      <c r="D44" s="204"/>
      <c r="E44" s="204"/>
      <c r="F44" s="204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04"/>
      <c r="V44" s="96"/>
      <c r="W44" s="96"/>
    </row>
    <row r="45" spans="1:23" s="339" customFormat="1">
      <c r="A45" s="171"/>
      <c r="B45" s="204"/>
      <c r="C45" s="204"/>
      <c r="D45" s="204"/>
      <c r="E45" s="204"/>
      <c r="F45" s="204"/>
      <c r="G45" s="204"/>
      <c r="H45" s="204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4"/>
      <c r="T45" s="204"/>
      <c r="U45" s="204"/>
      <c r="V45" s="96"/>
      <c r="W45" s="96"/>
    </row>
    <row r="46" spans="1:23" ht="13.5" thickBot="1">
      <c r="A46" s="162" t="s">
        <v>49</v>
      </c>
      <c r="B46" s="163">
        <v>2001</v>
      </c>
      <c r="C46" s="163">
        <f t="shared" ref="C46:U46" si="10">B46+1</f>
        <v>2002</v>
      </c>
      <c r="D46" s="163">
        <f t="shared" si="10"/>
        <v>2003</v>
      </c>
      <c r="E46" s="163">
        <f>D46+1</f>
        <v>2004</v>
      </c>
      <c r="F46" s="163">
        <f t="shared" si="10"/>
        <v>2005</v>
      </c>
      <c r="G46" s="163">
        <f t="shared" si="10"/>
        <v>2006</v>
      </c>
      <c r="H46" s="163">
        <f t="shared" si="10"/>
        <v>2007</v>
      </c>
      <c r="I46" s="163">
        <f t="shared" si="10"/>
        <v>2008</v>
      </c>
      <c r="J46" s="163">
        <f t="shared" si="10"/>
        <v>2009</v>
      </c>
      <c r="K46" s="163">
        <f>J46+1</f>
        <v>2010</v>
      </c>
      <c r="L46" s="163">
        <f t="shared" si="10"/>
        <v>2011</v>
      </c>
      <c r="M46" s="163">
        <f t="shared" si="10"/>
        <v>2012</v>
      </c>
      <c r="N46" s="163">
        <f t="shared" si="10"/>
        <v>2013</v>
      </c>
      <c r="O46" s="163">
        <f t="shared" si="10"/>
        <v>2014</v>
      </c>
      <c r="P46" s="163">
        <f t="shared" si="10"/>
        <v>2015</v>
      </c>
      <c r="Q46" s="163">
        <f t="shared" si="10"/>
        <v>2016</v>
      </c>
      <c r="R46" s="163">
        <f t="shared" si="10"/>
        <v>2017</v>
      </c>
      <c r="S46" s="163">
        <f t="shared" si="10"/>
        <v>2018</v>
      </c>
      <c r="T46" s="163">
        <f t="shared" si="10"/>
        <v>2019</v>
      </c>
      <c r="U46" s="163">
        <f t="shared" si="10"/>
        <v>2020</v>
      </c>
      <c r="W46" s="303" t="s">
        <v>146</v>
      </c>
    </row>
    <row r="47" spans="1:23">
      <c r="A47" s="262"/>
      <c r="B47" s="204"/>
      <c r="C47" s="204"/>
      <c r="D47" s="204"/>
      <c r="E47" s="204"/>
      <c r="F47" s="204"/>
      <c r="G47" s="204"/>
      <c r="H47" s="204"/>
      <c r="I47" s="204"/>
      <c r="J47" s="204"/>
      <c r="K47" s="204"/>
      <c r="L47" s="204"/>
      <c r="M47" s="204"/>
      <c r="N47" s="204"/>
      <c r="O47" s="204"/>
      <c r="P47" s="204"/>
      <c r="Q47" s="204"/>
      <c r="R47" s="204"/>
      <c r="S47" s="204"/>
      <c r="T47" s="204"/>
      <c r="U47" s="204"/>
      <c r="W47" s="279"/>
    </row>
    <row r="48" spans="1:23">
      <c r="A48" s="266" t="s">
        <v>56</v>
      </c>
      <c r="B48" s="204">
        <f t="shared" ref="B48:U48" si="11">B25</f>
        <v>30899.434782993754</v>
      </c>
      <c r="C48" s="204">
        <f t="shared" si="11"/>
        <v>32469.181311166336</v>
      </c>
      <c r="D48" s="204">
        <f t="shared" si="11"/>
        <v>34149.386864787732</v>
      </c>
      <c r="E48" s="204">
        <f t="shared" si="11"/>
        <v>35945.517046869412</v>
      </c>
      <c r="F48" s="204">
        <f t="shared" si="11"/>
        <v>37871.983559086526</v>
      </c>
      <c r="G48" s="204">
        <f t="shared" si="11"/>
        <v>38500.283462084706</v>
      </c>
      <c r="H48" s="204">
        <f t="shared" si="11"/>
        <v>39092.517706428007</v>
      </c>
      <c r="I48" s="204">
        <f t="shared" si="11"/>
        <v>39760.563029861332</v>
      </c>
      <c r="J48" s="204">
        <f t="shared" si="11"/>
        <v>40545.072719983669</v>
      </c>
      <c r="K48" s="204">
        <f t="shared" si="11"/>
        <v>41424.060669480037</v>
      </c>
      <c r="L48" s="204">
        <f t="shared" si="11"/>
        <v>41757.739548501224</v>
      </c>
      <c r="M48" s="204">
        <f t="shared" si="11"/>
        <v>42253.269866526629</v>
      </c>
      <c r="N48" s="204">
        <f t="shared" si="11"/>
        <v>42753.588336540386</v>
      </c>
      <c r="O48" s="204">
        <f t="shared" si="11"/>
        <v>43258.744225100672</v>
      </c>
      <c r="P48" s="204">
        <f t="shared" si="11"/>
        <v>43768.752210285464</v>
      </c>
      <c r="Q48" s="204">
        <f t="shared" si="11"/>
        <v>44393.809397209523</v>
      </c>
      <c r="R48" s="204">
        <f t="shared" si="11"/>
        <v>45026.82323209192</v>
      </c>
      <c r="S48" s="204">
        <f t="shared" si="11"/>
        <v>45667.86919186062</v>
      </c>
      <c r="T48" s="204">
        <f t="shared" si="11"/>
        <v>46317.022549810616</v>
      </c>
      <c r="U48" s="204">
        <f t="shared" si="11"/>
        <v>46974.358332179421</v>
      </c>
      <c r="W48" s="177">
        <f>SUM(B48:U48)</f>
        <v>812829.97804284806</v>
      </c>
    </row>
    <row r="49" spans="1:45">
      <c r="A49" s="266" t="s">
        <v>153</v>
      </c>
      <c r="B49" s="268">
        <f>B20</f>
        <v>0</v>
      </c>
      <c r="C49" s="268">
        <f t="shared" ref="C49:U49" si="12">C20</f>
        <v>117.98699999999999</v>
      </c>
      <c r="D49" s="268">
        <f t="shared" si="12"/>
        <v>216.84299999999999</v>
      </c>
      <c r="E49" s="268">
        <f t="shared" si="12"/>
        <v>295.98500000000001</v>
      </c>
      <c r="F49" s="268">
        <f t="shared" si="12"/>
        <v>346.25099999999998</v>
      </c>
      <c r="G49" s="268">
        <f t="shared" si="12"/>
        <v>468.65699999999998</v>
      </c>
      <c r="H49" s="268">
        <f t="shared" si="12"/>
        <v>641.05899999999997</v>
      </c>
      <c r="I49" s="268">
        <f t="shared" si="12"/>
        <v>753.23199999999997</v>
      </c>
      <c r="J49" s="268">
        <f t="shared" si="12"/>
        <v>765.3</v>
      </c>
      <c r="K49" s="268">
        <f t="shared" si="12"/>
        <v>699.25800000000004</v>
      </c>
      <c r="L49" s="268">
        <f t="shared" si="12"/>
        <v>854.33299999999997</v>
      </c>
      <c r="M49" s="268">
        <f t="shared" si="12"/>
        <v>854.3</v>
      </c>
      <c r="N49" s="268">
        <f t="shared" si="12"/>
        <v>854.3</v>
      </c>
      <c r="O49" s="268">
        <f t="shared" si="12"/>
        <v>854.3</v>
      </c>
      <c r="P49" s="268">
        <f t="shared" si="12"/>
        <v>854.3</v>
      </c>
      <c r="Q49" s="268">
        <f t="shared" si="12"/>
        <v>854.3</v>
      </c>
      <c r="R49" s="268">
        <f t="shared" si="12"/>
        <v>854.3</v>
      </c>
      <c r="S49" s="268">
        <f t="shared" si="12"/>
        <v>854.3</v>
      </c>
      <c r="T49" s="268">
        <f t="shared" si="12"/>
        <v>854.3</v>
      </c>
      <c r="U49" s="268">
        <f t="shared" si="12"/>
        <v>854.3</v>
      </c>
      <c r="W49" s="177">
        <f>SUM(B49:U49)</f>
        <v>12847.604999999996</v>
      </c>
    </row>
    <row r="50" spans="1:45">
      <c r="A50" s="266" t="s">
        <v>154</v>
      </c>
      <c r="B50" s="353">
        <v>-203.273</v>
      </c>
      <c r="C50" s="268">
        <f>-B49</f>
        <v>0</v>
      </c>
      <c r="D50" s="268">
        <f t="shared" ref="D50:U50" si="13">-C49</f>
        <v>-117.98699999999999</v>
      </c>
      <c r="E50" s="268">
        <f t="shared" si="13"/>
        <v>-216.84299999999999</v>
      </c>
      <c r="F50" s="268">
        <f t="shared" si="13"/>
        <v>-295.98500000000001</v>
      </c>
      <c r="G50" s="268">
        <f t="shared" si="13"/>
        <v>-346.25099999999998</v>
      </c>
      <c r="H50" s="268">
        <f t="shared" si="13"/>
        <v>-468.65699999999998</v>
      </c>
      <c r="I50" s="268">
        <f t="shared" si="13"/>
        <v>-641.05899999999997</v>
      </c>
      <c r="J50" s="268">
        <f t="shared" si="13"/>
        <v>-753.23199999999997</v>
      </c>
      <c r="K50" s="268">
        <f t="shared" si="13"/>
        <v>-765.3</v>
      </c>
      <c r="L50" s="268">
        <f t="shared" si="13"/>
        <v>-699.25800000000004</v>
      </c>
      <c r="M50" s="268">
        <f t="shared" si="13"/>
        <v>-854.33299999999997</v>
      </c>
      <c r="N50" s="268">
        <f t="shared" si="13"/>
        <v>-854.3</v>
      </c>
      <c r="O50" s="268">
        <f t="shared" si="13"/>
        <v>-854.3</v>
      </c>
      <c r="P50" s="268">
        <f t="shared" si="13"/>
        <v>-854.3</v>
      </c>
      <c r="Q50" s="268">
        <f t="shared" si="13"/>
        <v>-854.3</v>
      </c>
      <c r="R50" s="268">
        <f t="shared" si="13"/>
        <v>-854.3</v>
      </c>
      <c r="S50" s="268">
        <f t="shared" si="13"/>
        <v>-854.3</v>
      </c>
      <c r="T50" s="268">
        <f t="shared" si="13"/>
        <v>-854.3</v>
      </c>
      <c r="U50" s="268">
        <f t="shared" si="13"/>
        <v>-854.3</v>
      </c>
      <c r="W50" s="177">
        <f>SUM(B50:U50)</f>
        <v>-12196.577999999996</v>
      </c>
    </row>
    <row r="51" spans="1:45">
      <c r="A51" s="266" t="s">
        <v>64</v>
      </c>
      <c r="B51" s="354">
        <f>-Debt!B77*Allocation!$E$7</f>
        <v>-11771.605542895701</v>
      </c>
      <c r="C51" s="354">
        <f>-Debt!C77*Allocation!$E$7</f>
        <v>-11803.945118562997</v>
      </c>
      <c r="D51" s="354">
        <f>-Debt!D77*Allocation!$E$7</f>
        <v>-11803.945118562997</v>
      </c>
      <c r="E51" s="354">
        <f>-Debt!E77*Allocation!$E$7</f>
        <v>-13205.888863506038</v>
      </c>
      <c r="F51" s="354">
        <f>-Debt!F77*Allocation!$E$7</f>
        <v>-13534.321375860223</v>
      </c>
      <c r="G51" s="354">
        <f>-Debt!G77*Allocation!$E$7</f>
        <v>-13578.991559364758</v>
      </c>
      <c r="H51" s="354">
        <f>-Debt!H77*Allocation!$E$7</f>
        <v>-13530.062751517909</v>
      </c>
      <c r="I51" s="354">
        <f>-Debt!I77*Allocation!$E$7</f>
        <v>-13618.121521981449</v>
      </c>
      <c r="J51" s="354">
        <f>-Debt!J77*Allocation!$E$7</f>
        <v>-13545.406684823718</v>
      </c>
      <c r="K51" s="354">
        <f>-Debt!K77*Allocation!$E$7</f>
        <v>-14410.409984077698</v>
      </c>
      <c r="L51" s="354">
        <f>-Debt!L77*Allocation!$E$7</f>
        <v>-18499.747264839552</v>
      </c>
      <c r="M51" s="354">
        <f>-Debt!M77*Allocation!$E$7</f>
        <v>-17525.725244790116</v>
      </c>
      <c r="N51" s="354">
        <f>-Debt!N77*Allocation!$E$7</f>
        <v>-16503.296121680523</v>
      </c>
      <c r="O51" s="354">
        <f>-Debt!O77*Allocation!$E$7</f>
        <v>-15505.070550101011</v>
      </c>
      <c r="P51" s="354">
        <f>-Debt!P77*Allocation!$E$7</f>
        <v>-14940.206247760569</v>
      </c>
      <c r="Q51" s="354">
        <f>-Debt!Q77*Allocation!$E$7</f>
        <v>-14338.558016823563</v>
      </c>
      <c r="R51" s="354">
        <f>-Debt!R77*Allocation!$E$7</f>
        <v>-13227.382538103684</v>
      </c>
      <c r="S51" s="354">
        <f>-Debt!S77*Allocation!$E$7</f>
        <v>-10395.889332409948</v>
      </c>
      <c r="T51" s="354">
        <f>-Debt!T77*Allocation!$E$7</f>
        <v>-9497.4863179883869</v>
      </c>
      <c r="U51" s="354">
        <f>-Debt!U77*Allocation!$E$7</f>
        <v>-7709.3879026194718</v>
      </c>
      <c r="W51" s="177">
        <f>SUM(B51:U51)</f>
        <v>-268945.44805827033</v>
      </c>
    </row>
    <row r="52" spans="1:45">
      <c r="A52" s="266"/>
      <c r="B52" s="357"/>
      <c r="C52" s="357"/>
      <c r="D52" s="357"/>
      <c r="E52" s="357"/>
      <c r="F52" s="357"/>
      <c r="G52" s="357"/>
      <c r="H52" s="357"/>
      <c r="I52" s="357"/>
      <c r="J52" s="357"/>
      <c r="K52" s="357"/>
      <c r="L52" s="357"/>
      <c r="M52" s="357"/>
      <c r="N52" s="357"/>
      <c r="O52" s="357"/>
      <c r="P52" s="357"/>
      <c r="Q52" s="357"/>
      <c r="R52" s="357"/>
      <c r="S52" s="357"/>
      <c r="T52" s="357"/>
      <c r="U52" s="357"/>
      <c r="W52" s="259"/>
    </row>
    <row r="53" spans="1:45">
      <c r="A53" s="262" t="s">
        <v>65</v>
      </c>
      <c r="B53" s="405">
        <f t="shared" ref="B53:U53" si="14">SUM(B48:B51)</f>
        <v>18924.556240098053</v>
      </c>
      <c r="C53" s="405">
        <f t="shared" si="14"/>
        <v>20783.223192603342</v>
      </c>
      <c r="D53" s="405">
        <f t="shared" si="14"/>
        <v>22444.297746224736</v>
      </c>
      <c r="E53" s="405">
        <f t="shared" si="14"/>
        <v>22818.770183363376</v>
      </c>
      <c r="F53" s="405">
        <f t="shared" si="14"/>
        <v>24387.9281832263</v>
      </c>
      <c r="G53" s="405">
        <f t="shared" si="14"/>
        <v>25043.697902719949</v>
      </c>
      <c r="H53" s="405">
        <f t="shared" si="14"/>
        <v>25734.856954910101</v>
      </c>
      <c r="I53" s="405">
        <f t="shared" si="14"/>
        <v>26254.61450787988</v>
      </c>
      <c r="J53" s="405">
        <f t="shared" si="14"/>
        <v>27011.734035159949</v>
      </c>
      <c r="K53" s="405">
        <f t="shared" si="14"/>
        <v>26947.608685402338</v>
      </c>
      <c r="L53" s="405">
        <f t="shared" si="14"/>
        <v>23413.067283661669</v>
      </c>
      <c r="M53" s="405">
        <f t="shared" si="14"/>
        <v>24727.511621736518</v>
      </c>
      <c r="N53" s="405">
        <f t="shared" si="14"/>
        <v>26250.292214859863</v>
      </c>
      <c r="O53" s="405">
        <f t="shared" si="14"/>
        <v>27753.673674999663</v>
      </c>
      <c r="P53" s="405">
        <f t="shared" si="14"/>
        <v>28828.545962524895</v>
      </c>
      <c r="Q53" s="405">
        <f t="shared" si="14"/>
        <v>30055.251380385962</v>
      </c>
      <c r="R53" s="405">
        <f t="shared" si="14"/>
        <v>31799.440693988236</v>
      </c>
      <c r="S53" s="405">
        <f t="shared" si="14"/>
        <v>35271.979859450672</v>
      </c>
      <c r="T53" s="405">
        <f t="shared" si="14"/>
        <v>36819.536231822232</v>
      </c>
      <c r="U53" s="405">
        <f t="shared" si="14"/>
        <v>39264.970429559951</v>
      </c>
      <c r="V53" s="307"/>
      <c r="W53" s="177">
        <f>SUM(B53:U53)</f>
        <v>544535.55698457768</v>
      </c>
    </row>
    <row r="54" spans="1:45">
      <c r="A54" s="262"/>
      <c r="B54" s="208"/>
      <c r="C54" s="208"/>
      <c r="D54" s="208"/>
      <c r="E54" s="208"/>
      <c r="F54" s="208"/>
      <c r="G54" s="208"/>
      <c r="H54" s="208"/>
      <c r="I54" s="208"/>
      <c r="J54" s="208"/>
      <c r="K54" s="208"/>
      <c r="L54" s="208"/>
      <c r="M54" s="208"/>
      <c r="N54" s="208"/>
      <c r="O54" s="208"/>
      <c r="P54" s="208"/>
      <c r="Q54" s="208"/>
      <c r="R54" s="208"/>
      <c r="S54" s="208"/>
      <c r="T54" s="208"/>
      <c r="U54" s="208"/>
      <c r="W54" s="259"/>
    </row>
    <row r="55" spans="1:45" ht="15">
      <c r="A55" s="266" t="s">
        <v>88</v>
      </c>
      <c r="B55" s="393">
        <f>-B100</f>
        <v>-802.74459681756639</v>
      </c>
      <c r="C55" s="393">
        <f t="shared" ref="C55:U55" si="15">-C100</f>
        <v>-485.54021269266622</v>
      </c>
      <c r="D55" s="393">
        <f t="shared" si="15"/>
        <v>-710.88235291857359</v>
      </c>
      <c r="E55" s="393">
        <f t="shared" si="15"/>
        <v>-936.16301934007743</v>
      </c>
      <c r="F55" s="393">
        <f t="shared" si="15"/>
        <v>-1179.3616352830204</v>
      </c>
      <c r="G55" s="393">
        <f t="shared" si="15"/>
        <v>-1314.6515154360011</v>
      </c>
      <c r="H55" s="393">
        <f t="shared" si="15"/>
        <v>-1413.1821660142714</v>
      </c>
      <c r="I55" s="393">
        <f t="shared" si="15"/>
        <v>-1484.2103108601259</v>
      </c>
      <c r="J55" s="393">
        <f t="shared" si="15"/>
        <v>-1573.8530523777358</v>
      </c>
      <c r="K55" s="393">
        <f t="shared" si="15"/>
        <v>-1670.5068088147468</v>
      </c>
      <c r="L55" s="393">
        <f t="shared" si="15"/>
        <v>-1745.8833717472962</v>
      </c>
      <c r="M55" s="393">
        <f t="shared" si="15"/>
        <v>-1861.0032074921578</v>
      </c>
      <c r="N55" s="393">
        <f t="shared" si="15"/>
        <v>-1982.2750663119532</v>
      </c>
      <c r="O55" s="393">
        <f t="shared" si="15"/>
        <v>-2100.0674026999468</v>
      </c>
      <c r="P55" s="393">
        <f t="shared" si="15"/>
        <v>-2221.1865024356293</v>
      </c>
      <c r="Q55" s="393">
        <f t="shared" si="15"/>
        <v>-2640.8913146047498</v>
      </c>
      <c r="R55" s="393">
        <f t="shared" si="15"/>
        <v>-3066.2479644792884</v>
      </c>
      <c r="S55" s="393">
        <f t="shared" si="15"/>
        <v>-3199.660998318267</v>
      </c>
      <c r="T55" s="393">
        <f t="shared" si="15"/>
        <v>-3321.9179517356197</v>
      </c>
      <c r="U55" s="393">
        <f t="shared" si="15"/>
        <v>-3444.6484732406243</v>
      </c>
      <c r="W55" s="177">
        <f>SUM(B55:U55)</f>
        <v>-37154.877923620319</v>
      </c>
      <c r="X55" s="5"/>
      <c r="Y55" s="5"/>
      <c r="Z55" s="5"/>
      <c r="AA55" s="5"/>
      <c r="AB55" s="9"/>
      <c r="AC55" s="9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>
      <c r="A56" s="266" t="s">
        <v>89</v>
      </c>
      <c r="B56" s="356">
        <f>-Allocation!$E$7*Tax!B24</f>
        <v>-2275.5557210367042</v>
      </c>
      <c r="C56" s="356">
        <f>-Allocation!$E$7*Tax!C24</f>
        <v>0</v>
      </c>
      <c r="D56" s="356">
        <f>-Allocation!$E$7*Tax!D24</f>
        <v>0</v>
      </c>
      <c r="E56" s="356">
        <f>-Allocation!$E$7*Tax!E24</f>
        <v>-1349.3250244006972</v>
      </c>
      <c r="F56" s="356">
        <f>-Allocation!$E$7*Tax!F24</f>
        <v>-3017.8974770357895</v>
      </c>
      <c r="G56" s="356">
        <f>-Allocation!$E$7*Tax!G24</f>
        <v>-3811.1614729719822</v>
      </c>
      <c r="H56" s="356">
        <f>-Allocation!$E$7*Tax!H24</f>
        <v>-4356.93813349228</v>
      </c>
      <c r="I56" s="356">
        <f>-Allocation!$E$7*Tax!I24</f>
        <v>-4640.9340519859306</v>
      </c>
      <c r="J56" s="356">
        <f>-Allocation!$E$7*Tax!J24</f>
        <v>-4985.2685876330652</v>
      </c>
      <c r="K56" s="356">
        <f>-Allocation!$E$7*Tax!K24</f>
        <v>-5331.4939998906457</v>
      </c>
      <c r="L56" s="356">
        <f>-Allocation!$E$7*Tax!L24</f>
        <v>-5749.0178433421224</v>
      </c>
      <c r="M56" s="356">
        <f>-Allocation!$E$7*Tax!M24</f>
        <v>-6288.6928378545053</v>
      </c>
      <c r="N56" s="356">
        <f>-Allocation!$E$7*Tax!N24</f>
        <v>-6828.7653077475743</v>
      </c>
      <c r="O56" s="356">
        <f>-Allocation!$E$7*Tax!O24</f>
        <v>-7383.9429526090917</v>
      </c>
      <c r="P56" s="356">
        <f>-Allocation!$E$7*Tax!P24</f>
        <v>-7919.2303385575151</v>
      </c>
      <c r="Q56" s="356">
        <f>-Allocation!$E$7*Tax!Q24</f>
        <v>-10867.907645886458</v>
      </c>
      <c r="R56" s="356">
        <f>-Allocation!$E$7*Tax!R24</f>
        <v>-13781.775990934255</v>
      </c>
      <c r="S56" s="356">
        <f>-Allocation!$E$7*Tax!S24</f>
        <v>-14334.417758629797</v>
      </c>
      <c r="T56" s="356">
        <f>-Allocation!$E$7*Tax!T24</f>
        <v>-14841.152403503122</v>
      </c>
      <c r="U56" s="356">
        <f>-Allocation!$E$7*Tax!U24</f>
        <v>-15349.881179912263</v>
      </c>
      <c r="W56" s="177">
        <f>SUM(B56:U56)</f>
        <v>-133113.35872742379</v>
      </c>
      <c r="X56" s="5"/>
      <c r="Y56" s="5"/>
      <c r="Z56" s="5"/>
      <c r="AA56" s="5"/>
      <c r="AB56" s="9"/>
      <c r="AC56" s="9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 ht="15">
      <c r="A57" s="266"/>
      <c r="B57" s="406"/>
      <c r="C57" s="406"/>
      <c r="D57" s="406"/>
      <c r="E57" s="406"/>
      <c r="F57" s="406"/>
      <c r="G57" s="406"/>
      <c r="H57" s="406"/>
      <c r="I57" s="406"/>
      <c r="J57" s="406"/>
      <c r="K57" s="406"/>
      <c r="L57" s="406"/>
      <c r="M57" s="406"/>
      <c r="N57" s="406"/>
      <c r="O57" s="406"/>
      <c r="P57" s="406"/>
      <c r="Q57" s="406"/>
      <c r="R57" s="406"/>
      <c r="S57" s="406"/>
      <c r="T57" s="406"/>
      <c r="U57" s="406"/>
      <c r="W57" s="259"/>
    </row>
    <row r="58" spans="1:45" ht="15.75">
      <c r="A58" s="375" t="s">
        <v>66</v>
      </c>
      <c r="B58" s="358">
        <f t="shared" ref="B58:U58" si="16">B53+B56+B55</f>
        <v>15846.255922243781</v>
      </c>
      <c r="C58" s="358">
        <f t="shared" si="16"/>
        <v>20297.682979910674</v>
      </c>
      <c r="D58" s="358">
        <f t="shared" si="16"/>
        <v>21733.415393306164</v>
      </c>
      <c r="E58" s="358">
        <f t="shared" si="16"/>
        <v>20533.282139622603</v>
      </c>
      <c r="F58" s="358">
        <f t="shared" si="16"/>
        <v>20190.66907090749</v>
      </c>
      <c r="G58" s="358">
        <f t="shared" si="16"/>
        <v>19917.884914311966</v>
      </c>
      <c r="H58" s="358">
        <f t="shared" si="16"/>
        <v>19964.736655403551</v>
      </c>
      <c r="I58" s="358">
        <f t="shared" si="16"/>
        <v>20129.470145033822</v>
      </c>
      <c r="J58" s="358">
        <f t="shared" si="16"/>
        <v>20452.612395149146</v>
      </c>
      <c r="K58" s="358">
        <f t="shared" si="16"/>
        <v>19945.607876696948</v>
      </c>
      <c r="L58" s="358">
        <f t="shared" si="16"/>
        <v>15918.166068572253</v>
      </c>
      <c r="M58" s="358">
        <f t="shared" si="16"/>
        <v>16577.815576389854</v>
      </c>
      <c r="N58" s="358">
        <f t="shared" si="16"/>
        <v>17439.251840800338</v>
      </c>
      <c r="O58" s="358">
        <f t="shared" si="16"/>
        <v>18269.663319690626</v>
      </c>
      <c r="P58" s="358">
        <f t="shared" si="16"/>
        <v>18688.129121531751</v>
      </c>
      <c r="Q58" s="358">
        <f t="shared" si="16"/>
        <v>16546.452419894755</v>
      </c>
      <c r="R58" s="358">
        <f t="shared" si="16"/>
        <v>14951.416738574695</v>
      </c>
      <c r="S58" s="358">
        <f t="shared" si="16"/>
        <v>17737.901102502608</v>
      </c>
      <c r="T58" s="358">
        <f t="shared" si="16"/>
        <v>18656.46587658349</v>
      </c>
      <c r="U58" s="358">
        <f t="shared" si="16"/>
        <v>20470.440776407064</v>
      </c>
      <c r="V58" s="349"/>
      <c r="W58" s="177">
        <f>SUM(B58:U58)</f>
        <v>374267.32033353351</v>
      </c>
    </row>
    <row r="59" spans="1:45" s="307" customFormat="1">
      <c r="A59" s="96"/>
      <c r="B59" s="377"/>
      <c r="C59" s="377"/>
      <c r="D59" s="377"/>
      <c r="E59" s="377"/>
      <c r="F59" s="377"/>
      <c r="G59" s="377"/>
      <c r="H59" s="377"/>
      <c r="I59" s="377"/>
      <c r="J59" s="377"/>
      <c r="K59" s="377"/>
      <c r="L59" s="208"/>
      <c r="M59" s="208"/>
      <c r="N59" s="208"/>
      <c r="O59" s="208"/>
      <c r="P59" s="208"/>
      <c r="Q59" s="208"/>
      <c r="R59" s="208"/>
      <c r="S59" s="208"/>
      <c r="T59" s="208"/>
      <c r="U59" s="208"/>
      <c r="V59" s="96"/>
      <c r="W59" s="96"/>
    </row>
    <row r="60" spans="1:45" ht="15">
      <c r="A60" s="380"/>
      <c r="B60" s="378"/>
      <c r="C60" s="378"/>
      <c r="D60" s="378"/>
      <c r="E60" s="378"/>
      <c r="F60" s="378"/>
      <c r="G60" s="378"/>
      <c r="H60" s="378"/>
      <c r="I60" s="378"/>
      <c r="J60" s="378"/>
      <c r="K60" s="378"/>
      <c r="L60" s="208"/>
      <c r="M60" s="208"/>
      <c r="N60" s="208"/>
      <c r="O60" s="208"/>
      <c r="P60" s="208"/>
      <c r="Q60" s="208"/>
      <c r="R60" s="208"/>
      <c r="S60" s="208"/>
      <c r="T60" s="208"/>
      <c r="U60" s="208"/>
    </row>
    <row r="61" spans="1:45">
      <c r="A61" s="379"/>
      <c r="B61" s="208"/>
      <c r="C61" s="208"/>
      <c r="D61" s="208"/>
      <c r="E61" s="208"/>
      <c r="F61" s="208"/>
      <c r="G61" s="208"/>
      <c r="H61" s="208"/>
      <c r="I61" s="208"/>
      <c r="J61" s="208"/>
      <c r="K61" s="208"/>
      <c r="L61" s="208"/>
      <c r="M61" s="208"/>
      <c r="N61" s="208"/>
      <c r="O61" s="208"/>
      <c r="P61" s="208"/>
      <c r="Q61" s="208"/>
      <c r="R61" s="208"/>
      <c r="S61" s="208"/>
      <c r="T61" s="208"/>
      <c r="U61" s="208"/>
    </row>
    <row r="62" spans="1:45" ht="18">
      <c r="A62" s="352" t="s">
        <v>190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45">
      <c r="A63" s="307"/>
      <c r="B63" s="308"/>
      <c r="C63" s="308"/>
      <c r="D63" s="308"/>
      <c r="E63" s="308"/>
      <c r="F63" s="308"/>
      <c r="G63" s="309"/>
      <c r="H63" s="308"/>
      <c r="I63" s="308"/>
      <c r="J63" s="308"/>
      <c r="K63" s="308"/>
      <c r="L63" s="308"/>
      <c r="M63" s="309"/>
      <c r="N63" s="308"/>
      <c r="O63" s="308"/>
      <c r="P63" s="308"/>
      <c r="Q63" s="308"/>
      <c r="R63" s="308"/>
      <c r="S63" s="309"/>
      <c r="T63" s="308"/>
      <c r="U63" s="308"/>
    </row>
    <row r="64" spans="1:45" s="349" customFormat="1" ht="15.75">
      <c r="A64" s="256"/>
      <c r="B64" s="311">
        <v>3</v>
      </c>
      <c r="C64" s="311">
        <v>4</v>
      </c>
      <c r="D64" s="311">
        <v>5</v>
      </c>
      <c r="E64" s="312">
        <v>6</v>
      </c>
      <c r="F64" s="311">
        <v>7</v>
      </c>
      <c r="G64" s="311">
        <v>8</v>
      </c>
      <c r="H64" s="311">
        <v>9</v>
      </c>
      <c r="I64" s="311">
        <v>10</v>
      </c>
      <c r="J64" s="311">
        <v>11</v>
      </c>
      <c r="K64" s="312">
        <v>12</v>
      </c>
      <c r="L64" s="311">
        <v>13</v>
      </c>
      <c r="M64" s="311">
        <v>14</v>
      </c>
      <c r="N64" s="311">
        <v>15</v>
      </c>
      <c r="O64" s="311">
        <v>16</v>
      </c>
      <c r="P64" s="311">
        <v>17</v>
      </c>
      <c r="Q64" s="312">
        <v>18</v>
      </c>
      <c r="R64" s="311">
        <v>19</v>
      </c>
      <c r="S64" s="311">
        <v>20</v>
      </c>
      <c r="T64" s="311">
        <v>21</v>
      </c>
      <c r="U64" s="311">
        <v>22</v>
      </c>
      <c r="V64" s="96"/>
      <c r="W64" s="96"/>
    </row>
    <row r="65" spans="1:45" ht="13.5" thickBot="1">
      <c r="A65" s="162" t="s">
        <v>49</v>
      </c>
      <c r="B65" s="163">
        <v>2001</v>
      </c>
      <c r="C65" s="163">
        <v>2002</v>
      </c>
      <c r="D65" s="163">
        <v>2003</v>
      </c>
      <c r="E65" s="163">
        <v>2004</v>
      </c>
      <c r="F65" s="163">
        <v>2005</v>
      </c>
      <c r="G65" s="163">
        <v>2006</v>
      </c>
      <c r="H65" s="163">
        <v>2007</v>
      </c>
      <c r="I65" s="163">
        <v>2008</v>
      </c>
      <c r="J65" s="163">
        <v>2009</v>
      </c>
      <c r="K65" s="163">
        <v>2010</v>
      </c>
      <c r="L65" s="163">
        <v>2011</v>
      </c>
      <c r="M65" s="163">
        <v>2012</v>
      </c>
      <c r="N65" s="163">
        <v>2013</v>
      </c>
      <c r="O65" s="163">
        <v>2014</v>
      </c>
      <c r="P65" s="163">
        <v>2015</v>
      </c>
      <c r="Q65" s="163">
        <v>2016</v>
      </c>
      <c r="R65" s="163">
        <v>2017</v>
      </c>
      <c r="S65" s="163">
        <v>2018</v>
      </c>
      <c r="T65" s="163">
        <v>2019</v>
      </c>
      <c r="U65" s="163">
        <v>2020</v>
      </c>
    </row>
    <row r="66" spans="1:45">
      <c r="A66" s="256"/>
      <c r="B66" s="314"/>
      <c r="C66" s="164"/>
      <c r="D66" s="164"/>
      <c r="E66" s="164"/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4"/>
      <c r="Q66" s="164"/>
      <c r="R66" s="164"/>
      <c r="S66" s="164"/>
      <c r="T66" s="164"/>
      <c r="U66" s="164"/>
    </row>
    <row r="67" spans="1:45">
      <c r="A67" s="315" t="s">
        <v>164</v>
      </c>
      <c r="B67" s="314"/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</row>
    <row r="68" spans="1:45">
      <c r="A68" s="256"/>
      <c r="B68" s="314"/>
      <c r="C68" s="164"/>
      <c r="D68" s="164"/>
      <c r="E68" s="164"/>
      <c r="F68" s="164"/>
      <c r="G68" s="164"/>
      <c r="H68" s="164"/>
      <c r="I68" s="164"/>
      <c r="J68" s="164"/>
      <c r="K68" s="164"/>
      <c r="L68" s="164"/>
      <c r="M68" s="164"/>
      <c r="N68" s="164"/>
      <c r="O68" s="164"/>
      <c r="P68" s="164"/>
      <c r="Q68" s="164"/>
      <c r="R68" s="164"/>
      <c r="S68" s="164"/>
      <c r="T68" s="164"/>
      <c r="U68" s="164"/>
    </row>
    <row r="69" spans="1:45">
      <c r="A69" s="315" t="s">
        <v>80</v>
      </c>
      <c r="B69" s="4"/>
      <c r="C69" s="4"/>
      <c r="D69" s="397"/>
      <c r="E69" s="397"/>
      <c r="F69" s="397"/>
      <c r="G69" s="397"/>
      <c r="H69" s="397"/>
      <c r="I69" s="397"/>
      <c r="J69" s="397"/>
      <c r="K69" s="397"/>
      <c r="L69" s="397"/>
      <c r="M69" s="397"/>
      <c r="N69" s="397"/>
      <c r="O69" s="397"/>
      <c r="P69" s="397"/>
      <c r="Q69" s="397"/>
      <c r="R69" s="397"/>
      <c r="S69" s="397"/>
      <c r="T69" s="397"/>
      <c r="U69" s="397"/>
      <c r="V69" s="397"/>
      <c r="W69" s="397"/>
    </row>
    <row r="70" spans="1:45">
      <c r="A70" s="38" t="s">
        <v>235</v>
      </c>
      <c r="B70" s="12">
        <f t="shared" ref="B70:U70" si="17">B33</f>
        <v>12629.169486426679</v>
      </c>
      <c r="C70" s="12">
        <f t="shared" si="17"/>
        <v>14166.576438931965</v>
      </c>
      <c r="D70" s="12">
        <f t="shared" si="17"/>
        <v>15846.78199255336</v>
      </c>
      <c r="E70" s="12">
        <f t="shared" si="17"/>
        <v>17649.601670555814</v>
      </c>
      <c r="F70" s="12">
        <f t="shared" si="17"/>
        <v>19777.944655214531</v>
      </c>
      <c r="G70" s="12">
        <f t="shared" si="17"/>
        <v>20626.728867106067</v>
      </c>
      <c r="H70" s="12">
        <f t="shared" si="17"/>
        <v>21466.757788594638</v>
      </c>
      <c r="I70" s="12">
        <f t="shared" si="17"/>
        <v>22378.187457061791</v>
      </c>
      <c r="J70" s="12">
        <f t="shared" si="17"/>
        <v>23500.566476739754</v>
      </c>
      <c r="K70" s="12">
        <f t="shared" si="17"/>
        <v>24736.370975474711</v>
      </c>
      <c r="L70" s="12">
        <f t="shared" si="17"/>
        <v>25678.16545610128</v>
      </c>
      <c r="M70" s="12">
        <f t="shared" si="17"/>
        <v>27147.717794176118</v>
      </c>
      <c r="N70" s="12">
        <f t="shared" si="17"/>
        <v>28670.465387299468</v>
      </c>
      <c r="O70" s="12">
        <f t="shared" si="17"/>
        <v>30173.846847439268</v>
      </c>
      <c r="P70" s="12">
        <f t="shared" si="17"/>
        <v>31694.660781270053</v>
      </c>
      <c r="Q70" s="12">
        <f t="shared" si="17"/>
        <v>33367.307845436662</v>
      </c>
      <c r="R70" s="12">
        <f t="shared" si="17"/>
        <v>35111.49715903894</v>
      </c>
      <c r="S70" s="12">
        <f t="shared" si="17"/>
        <v>36800.269739279182</v>
      </c>
      <c r="T70" s="12">
        <f t="shared" si="17"/>
        <v>38347.826111650735</v>
      </c>
      <c r="U70" s="12">
        <f t="shared" si="17"/>
        <v>39901.377016777369</v>
      </c>
      <c r="V70" s="398"/>
      <c r="W70" s="398"/>
    </row>
    <row r="71" spans="1:45">
      <c r="A71" s="38" t="s">
        <v>156</v>
      </c>
      <c r="B71" s="399">
        <f>Assumptions!$D$39</f>
        <v>3.4000000000000002E-2</v>
      </c>
      <c r="C71" s="399">
        <f>Assumptions!$D$39</f>
        <v>3.4000000000000002E-2</v>
      </c>
      <c r="D71" s="399">
        <f>Assumptions!$D$39</f>
        <v>3.4000000000000002E-2</v>
      </c>
      <c r="E71" s="399">
        <f>Assumptions!$D$39</f>
        <v>3.4000000000000002E-2</v>
      </c>
      <c r="F71" s="399">
        <f>Assumptions!$D$39</f>
        <v>3.4000000000000002E-2</v>
      </c>
      <c r="G71" s="399">
        <f>Assumptions!$D$39</f>
        <v>3.4000000000000002E-2</v>
      </c>
      <c r="H71" s="399">
        <f>Assumptions!$D$39</f>
        <v>3.4000000000000002E-2</v>
      </c>
      <c r="I71" s="399">
        <f>Assumptions!$D$39</f>
        <v>3.4000000000000002E-2</v>
      </c>
      <c r="J71" s="399">
        <f>Assumptions!$D$39</f>
        <v>3.4000000000000002E-2</v>
      </c>
      <c r="K71" s="399">
        <f>Assumptions!$D$39</f>
        <v>3.4000000000000002E-2</v>
      </c>
      <c r="L71" s="399">
        <f>Assumptions!$D$39</f>
        <v>3.4000000000000002E-2</v>
      </c>
      <c r="M71" s="399">
        <f>Assumptions!$D$39</f>
        <v>3.4000000000000002E-2</v>
      </c>
      <c r="N71" s="399">
        <f>Assumptions!$D$39</f>
        <v>3.4000000000000002E-2</v>
      </c>
      <c r="O71" s="399">
        <f>Assumptions!$D$39</f>
        <v>3.4000000000000002E-2</v>
      </c>
      <c r="P71" s="399">
        <f>Assumptions!$D$39</f>
        <v>3.4000000000000002E-2</v>
      </c>
      <c r="Q71" s="399">
        <f>Assumptions!$D$39</f>
        <v>3.4000000000000002E-2</v>
      </c>
      <c r="R71" s="399">
        <f>Assumptions!$D$39</f>
        <v>3.4000000000000002E-2</v>
      </c>
      <c r="S71" s="399">
        <f>Assumptions!$D$39</f>
        <v>3.4000000000000002E-2</v>
      </c>
      <c r="T71" s="399">
        <f>Assumptions!$D$39</f>
        <v>3.4000000000000002E-2</v>
      </c>
      <c r="U71" s="399">
        <f>Assumptions!$D$39</f>
        <v>3.4000000000000002E-2</v>
      </c>
      <c r="V71" s="399"/>
      <c r="W71" s="399"/>
    </row>
    <row r="72" spans="1:45">
      <c r="A72" s="38" t="s">
        <v>157</v>
      </c>
      <c r="B72" s="267">
        <f>B70*B71</f>
        <v>429.39176253850712</v>
      </c>
      <c r="C72" s="267">
        <f t="shared" ref="C72:U72" si="18">C70*C71</f>
        <v>481.66359892368683</v>
      </c>
      <c r="D72" s="267">
        <f t="shared" si="18"/>
        <v>538.79058774681425</v>
      </c>
      <c r="E72" s="267">
        <f t="shared" si="18"/>
        <v>600.08645679889776</v>
      </c>
      <c r="F72" s="267">
        <f t="shared" si="18"/>
        <v>672.45011827729411</v>
      </c>
      <c r="G72" s="267">
        <f t="shared" si="18"/>
        <v>701.30878148160627</v>
      </c>
      <c r="H72" s="267">
        <f t="shared" si="18"/>
        <v>729.86976481221768</v>
      </c>
      <c r="I72" s="267">
        <f t="shared" si="18"/>
        <v>760.85837354010096</v>
      </c>
      <c r="J72" s="267">
        <f t="shared" si="18"/>
        <v>799.01926020915164</v>
      </c>
      <c r="K72" s="267">
        <f t="shared" si="18"/>
        <v>841.03661316614023</v>
      </c>
      <c r="L72" s="267">
        <f t="shared" si="18"/>
        <v>873.05762550744362</v>
      </c>
      <c r="M72" s="267">
        <f t="shared" si="18"/>
        <v>923.02240500198809</v>
      </c>
      <c r="N72" s="267">
        <f t="shared" si="18"/>
        <v>974.79582316818198</v>
      </c>
      <c r="O72" s="267">
        <f t="shared" si="18"/>
        <v>1025.9107928129351</v>
      </c>
      <c r="P72" s="267">
        <f t="shared" si="18"/>
        <v>1077.618466563182</v>
      </c>
      <c r="Q72" s="267">
        <f t="shared" si="18"/>
        <v>1134.4884667448466</v>
      </c>
      <c r="R72" s="267">
        <f t="shared" si="18"/>
        <v>1193.7909034073241</v>
      </c>
      <c r="S72" s="267">
        <f t="shared" si="18"/>
        <v>1251.2091711354922</v>
      </c>
      <c r="T72" s="267">
        <f t="shared" si="18"/>
        <v>1303.826087796125</v>
      </c>
      <c r="U72" s="267">
        <f t="shared" si="18"/>
        <v>1356.6468185704307</v>
      </c>
      <c r="V72" s="400"/>
      <c r="W72" s="400"/>
    </row>
    <row r="73" spans="1:45">
      <c r="A73" s="4"/>
      <c r="B73" s="9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</row>
    <row r="74" spans="1:45">
      <c r="A74" s="315" t="s">
        <v>81</v>
      </c>
      <c r="B74" s="9"/>
      <c r="C74" s="9"/>
      <c r="D74" s="408"/>
      <c r="E74" s="408"/>
      <c r="F74" s="408"/>
      <c r="G74" s="408"/>
      <c r="H74" s="408"/>
      <c r="I74" s="408"/>
      <c r="J74" s="408"/>
      <c r="K74" s="408"/>
      <c r="L74" s="408"/>
      <c r="M74" s="408"/>
      <c r="N74" s="408"/>
      <c r="O74" s="408"/>
      <c r="P74" s="408"/>
      <c r="Q74" s="408"/>
      <c r="R74" s="408"/>
      <c r="S74" s="408"/>
      <c r="T74" s="408"/>
      <c r="U74" s="408"/>
      <c r="V74" s="408"/>
      <c r="W74" s="408"/>
    </row>
    <row r="75" spans="1:45" s="3" customFormat="1">
      <c r="A75" s="38" t="s">
        <v>237</v>
      </c>
      <c r="B75" s="382">
        <f t="shared" ref="B75:U75" si="19">B13</f>
        <v>34665.11083352947</v>
      </c>
      <c r="C75" s="382">
        <f t="shared" si="19"/>
        <v>36465.814643218124</v>
      </c>
      <c r="D75" s="382">
        <f t="shared" si="19"/>
        <v>38361.235586801071</v>
      </c>
      <c r="E75" s="382">
        <f t="shared" si="19"/>
        <v>40356.357940543152</v>
      </c>
      <c r="F75" s="382">
        <f t="shared" si="19"/>
        <v>42456.536129570479</v>
      </c>
      <c r="G75" s="382">
        <f t="shared" si="19"/>
        <v>43334.391079683177</v>
      </c>
      <c r="H75" s="382">
        <f t="shared" si="19"/>
        <v>44229.990842554434</v>
      </c>
      <c r="I75" s="382">
        <f t="shared" si="19"/>
        <v>45145.10159007155</v>
      </c>
      <c r="J75" s="382">
        <f t="shared" si="19"/>
        <v>46080.618477000193</v>
      </c>
      <c r="K75" s="382">
        <f t="shared" si="19"/>
        <v>47036.671799207055</v>
      </c>
      <c r="L75" s="382">
        <f t="shared" si="19"/>
        <v>47672.826272120059</v>
      </c>
      <c r="M75" s="382">
        <f t="shared" si="19"/>
        <v>48320.146201854026</v>
      </c>
      <c r="N75" s="382">
        <f t="shared" si="19"/>
        <v>48976.841961927603</v>
      </c>
      <c r="O75" s="382">
        <f t="shared" si="19"/>
        <v>49643.066459249509</v>
      </c>
      <c r="P75" s="382">
        <f t="shared" si="19"/>
        <v>50318.975111458763</v>
      </c>
      <c r="Q75" s="382">
        <f t="shared" si="19"/>
        <v>51114.909985418024</v>
      </c>
      <c r="R75" s="382">
        <f t="shared" si="19"/>
        <v>51923.927837946678</v>
      </c>
      <c r="S75" s="382">
        <f t="shared" si="19"/>
        <v>52746.257935891015</v>
      </c>
      <c r="T75" s="382">
        <f t="shared" si="19"/>
        <v>53582.133956161924</v>
      </c>
      <c r="U75" s="382">
        <f t="shared" si="19"/>
        <v>54431.794080721273</v>
      </c>
      <c r="V75" s="398"/>
      <c r="W75" s="398"/>
      <c r="X75" s="397"/>
      <c r="Y75" s="397"/>
      <c r="Z75" s="397"/>
      <c r="AA75" s="397"/>
      <c r="AB75" s="397"/>
      <c r="AC75" s="4"/>
      <c r="AD75" s="4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</row>
    <row r="76" spans="1:45" s="3" customFormat="1">
      <c r="A76" s="38" t="s">
        <v>158</v>
      </c>
      <c r="B76" s="399">
        <f>Assumptions!$D$40</f>
        <v>1.2E-2</v>
      </c>
      <c r="C76" s="399">
        <f>Assumptions!$D$40</f>
        <v>1.2E-2</v>
      </c>
      <c r="D76" s="399">
        <f>Assumptions!$D$40</f>
        <v>1.2E-2</v>
      </c>
      <c r="E76" s="399">
        <f>Assumptions!$D$40</f>
        <v>1.2E-2</v>
      </c>
      <c r="F76" s="399">
        <f>Assumptions!$D$40</f>
        <v>1.2E-2</v>
      </c>
      <c r="G76" s="399">
        <f>Assumptions!$D$40</f>
        <v>1.2E-2</v>
      </c>
      <c r="H76" s="399">
        <f>Assumptions!$D$40</f>
        <v>1.2E-2</v>
      </c>
      <c r="I76" s="399">
        <f>Assumptions!$D$40</f>
        <v>1.2E-2</v>
      </c>
      <c r="J76" s="399">
        <f>Assumptions!$D$40</f>
        <v>1.2E-2</v>
      </c>
      <c r="K76" s="399">
        <f>Assumptions!$D$40</f>
        <v>1.2E-2</v>
      </c>
      <c r="L76" s="399">
        <f>Assumptions!$D$40</f>
        <v>1.2E-2</v>
      </c>
      <c r="M76" s="399">
        <f>Assumptions!$D$40</f>
        <v>1.2E-2</v>
      </c>
      <c r="N76" s="399">
        <f>Assumptions!$D$40</f>
        <v>1.2E-2</v>
      </c>
      <c r="O76" s="399">
        <f>Assumptions!$D$40</f>
        <v>1.2E-2</v>
      </c>
      <c r="P76" s="399">
        <f>Assumptions!$D$40</f>
        <v>1.2E-2</v>
      </c>
      <c r="Q76" s="399">
        <f>Assumptions!$D$40</f>
        <v>1.2E-2</v>
      </c>
      <c r="R76" s="399">
        <f>Assumptions!$D$40</f>
        <v>1.2E-2</v>
      </c>
      <c r="S76" s="399">
        <f>Assumptions!$D$40</f>
        <v>1.2E-2</v>
      </c>
      <c r="T76" s="399">
        <f>Assumptions!$D$40</f>
        <v>1.2E-2</v>
      </c>
      <c r="U76" s="399">
        <f>Assumptions!$D$40</f>
        <v>1.2E-2</v>
      </c>
      <c r="V76" s="399"/>
      <c r="W76" s="399"/>
      <c r="X76" s="398"/>
      <c r="Y76" s="398"/>
      <c r="Z76" s="398"/>
      <c r="AA76" s="398"/>
      <c r="AB76" s="398"/>
      <c r="AC76" s="4"/>
      <c r="AD76" s="4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</row>
    <row r="77" spans="1:45" s="4" customFormat="1">
      <c r="A77" s="38" t="s">
        <v>159</v>
      </c>
      <c r="B77" s="267">
        <f>B75*B76</f>
        <v>415.98133000235367</v>
      </c>
      <c r="C77" s="267">
        <f t="shared" ref="C77:U77" si="20">C75*C76</f>
        <v>437.58977571861749</v>
      </c>
      <c r="D77" s="267">
        <f t="shared" si="20"/>
        <v>460.33482704161287</v>
      </c>
      <c r="E77" s="267">
        <f t="shared" si="20"/>
        <v>484.27629528651784</v>
      </c>
      <c r="F77" s="267">
        <f t="shared" si="20"/>
        <v>509.47843355484576</v>
      </c>
      <c r="G77" s="267">
        <f t="shared" si="20"/>
        <v>520.01269295619818</v>
      </c>
      <c r="H77" s="267">
        <f t="shared" si="20"/>
        <v>530.75989011065326</v>
      </c>
      <c r="I77" s="267">
        <f t="shared" si="20"/>
        <v>541.74121908085863</v>
      </c>
      <c r="J77" s="267">
        <f t="shared" si="20"/>
        <v>552.96742172400229</v>
      </c>
      <c r="K77" s="267">
        <f t="shared" si="20"/>
        <v>564.44006159048467</v>
      </c>
      <c r="L77" s="267">
        <f t="shared" si="20"/>
        <v>572.07391526544075</v>
      </c>
      <c r="M77" s="267">
        <f t="shared" si="20"/>
        <v>579.8417544222483</v>
      </c>
      <c r="N77" s="267">
        <f t="shared" si="20"/>
        <v>587.7221035431312</v>
      </c>
      <c r="O77" s="267">
        <f t="shared" si="20"/>
        <v>595.71679751099407</v>
      </c>
      <c r="P77" s="267">
        <f t="shared" si="20"/>
        <v>603.82770133750512</v>
      </c>
      <c r="Q77" s="267">
        <f t="shared" si="20"/>
        <v>613.37891982501628</v>
      </c>
      <c r="R77" s="267">
        <f t="shared" si="20"/>
        <v>623.08713405536014</v>
      </c>
      <c r="S77" s="267">
        <f t="shared" si="20"/>
        <v>632.95509523069222</v>
      </c>
      <c r="T77" s="267">
        <f t="shared" si="20"/>
        <v>642.98560747394311</v>
      </c>
      <c r="U77" s="267">
        <f t="shared" si="20"/>
        <v>653.18152896865524</v>
      </c>
      <c r="V77" s="400"/>
      <c r="W77" s="400"/>
      <c r="X77" s="399"/>
      <c r="Y77" s="399"/>
      <c r="Z77" s="399"/>
      <c r="AA77" s="399"/>
      <c r="AB77" s="399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</row>
    <row r="78" spans="1:45" s="4" customFormat="1">
      <c r="A78" s="38"/>
      <c r="B78" s="14"/>
      <c r="C78" s="14"/>
      <c r="D78" s="400"/>
      <c r="E78" s="400"/>
      <c r="F78" s="400"/>
      <c r="G78" s="400"/>
      <c r="H78" s="400"/>
      <c r="I78" s="400"/>
      <c r="J78" s="400"/>
      <c r="K78" s="400"/>
      <c r="L78" s="400"/>
      <c r="M78" s="400"/>
      <c r="N78" s="400"/>
      <c r="O78" s="400"/>
      <c r="P78" s="400"/>
      <c r="Q78" s="400"/>
      <c r="R78" s="400"/>
      <c r="S78" s="400"/>
      <c r="T78" s="400"/>
      <c r="U78" s="400"/>
      <c r="V78" s="400"/>
      <c r="W78" s="400"/>
      <c r="X78" s="400"/>
      <c r="Y78" s="400"/>
      <c r="Z78" s="400"/>
      <c r="AA78" s="400"/>
      <c r="AB78" s="400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 spans="1:45" s="4" customFormat="1">
      <c r="A79" s="327" t="s">
        <v>160</v>
      </c>
      <c r="B79" s="409">
        <f>MAX(B77,B72)</f>
        <v>429.39176253850712</v>
      </c>
      <c r="C79" s="409">
        <f t="shared" ref="C79:U79" si="21">MAX(C77,C72)</f>
        <v>481.66359892368683</v>
      </c>
      <c r="D79" s="409">
        <f t="shared" si="21"/>
        <v>538.79058774681425</v>
      </c>
      <c r="E79" s="409">
        <f t="shared" si="21"/>
        <v>600.08645679889776</v>
      </c>
      <c r="F79" s="409">
        <f t="shared" si="21"/>
        <v>672.45011827729411</v>
      </c>
      <c r="G79" s="409">
        <f t="shared" si="21"/>
        <v>701.30878148160627</v>
      </c>
      <c r="H79" s="409">
        <f t="shared" si="21"/>
        <v>729.86976481221768</v>
      </c>
      <c r="I79" s="409">
        <f t="shared" si="21"/>
        <v>760.85837354010096</v>
      </c>
      <c r="J79" s="409">
        <f t="shared" si="21"/>
        <v>799.01926020915164</v>
      </c>
      <c r="K79" s="409">
        <f t="shared" si="21"/>
        <v>841.03661316614023</v>
      </c>
      <c r="L79" s="409">
        <f t="shared" si="21"/>
        <v>873.05762550744362</v>
      </c>
      <c r="M79" s="409">
        <f t="shared" si="21"/>
        <v>923.02240500198809</v>
      </c>
      <c r="N79" s="409">
        <f t="shared" si="21"/>
        <v>974.79582316818198</v>
      </c>
      <c r="O79" s="409">
        <f t="shared" si="21"/>
        <v>1025.9107928129351</v>
      </c>
      <c r="P79" s="409">
        <f t="shared" si="21"/>
        <v>1077.618466563182</v>
      </c>
      <c r="Q79" s="409">
        <f t="shared" si="21"/>
        <v>1134.4884667448466</v>
      </c>
      <c r="R79" s="409">
        <f t="shared" si="21"/>
        <v>1193.7909034073241</v>
      </c>
      <c r="S79" s="409">
        <f t="shared" si="21"/>
        <v>1251.2091711354922</v>
      </c>
      <c r="T79" s="409">
        <f t="shared" si="21"/>
        <v>1303.826087796125</v>
      </c>
      <c r="U79" s="409">
        <f t="shared" si="21"/>
        <v>1356.6468185704307</v>
      </c>
      <c r="V79" s="400"/>
      <c r="W79" s="400"/>
      <c r="X79" s="38"/>
      <c r="Y79" s="38"/>
      <c r="Z79" s="38"/>
      <c r="AA79" s="38"/>
      <c r="AB79" s="38"/>
      <c r="AC79" s="407"/>
      <c r="AD79" s="407"/>
    </row>
    <row r="80" spans="1:45" s="3" customFormat="1">
      <c r="A80" s="410"/>
      <c r="B80" s="14"/>
      <c r="C80" s="14"/>
      <c r="D80" s="400"/>
      <c r="E80" s="400"/>
      <c r="F80" s="400"/>
      <c r="G80" s="400"/>
      <c r="H80" s="400"/>
      <c r="I80" s="400"/>
      <c r="J80" s="400"/>
      <c r="K80" s="400"/>
      <c r="L80" s="400"/>
      <c r="M80" s="400"/>
      <c r="N80" s="400"/>
      <c r="O80" s="400"/>
      <c r="P80" s="400"/>
      <c r="Q80" s="400"/>
      <c r="R80" s="400"/>
      <c r="S80" s="400"/>
      <c r="T80" s="400"/>
      <c r="U80" s="400"/>
      <c r="V80" s="400"/>
      <c r="W80" s="400"/>
      <c r="X80" s="408"/>
      <c r="Y80" s="408"/>
      <c r="Z80" s="408"/>
      <c r="AA80" s="408"/>
      <c r="AB80" s="408"/>
      <c r="AC80" s="4"/>
      <c r="AD80" s="4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</row>
    <row r="81" spans="1:45" s="3" customFormat="1">
      <c r="A81" s="411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398"/>
      <c r="Y81" s="398"/>
      <c r="Z81" s="398"/>
      <c r="AA81" s="398"/>
      <c r="AB81" s="398"/>
      <c r="AC81" s="4"/>
      <c r="AD81" s="4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</row>
    <row r="82" spans="1:45" s="3" customFormat="1">
      <c r="A82" s="315" t="s">
        <v>76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399"/>
      <c r="Y82" s="399"/>
      <c r="Z82" s="399"/>
      <c r="AA82" s="399"/>
      <c r="AB82" s="399"/>
      <c r="AC82" s="4"/>
      <c r="AD82" s="4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</row>
    <row r="83" spans="1:45" s="3" customFormat="1">
      <c r="A83" s="315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00"/>
      <c r="Y83" s="400"/>
      <c r="Z83" s="400"/>
      <c r="AA83" s="400"/>
      <c r="AB83" s="400"/>
      <c r="AC83" s="4"/>
      <c r="AD83" s="4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</row>
    <row r="84" spans="1:45" s="3" customFormat="1">
      <c r="A84" s="38" t="s">
        <v>235</v>
      </c>
      <c r="B84" s="322">
        <f t="shared" ref="B84:U84" si="22">B33</f>
        <v>12629.169486426679</v>
      </c>
      <c r="C84" s="322">
        <f t="shared" si="22"/>
        <v>14166.576438931965</v>
      </c>
      <c r="D84" s="322">
        <f t="shared" si="22"/>
        <v>15846.78199255336</v>
      </c>
      <c r="E84" s="322">
        <f t="shared" si="22"/>
        <v>17649.601670555814</v>
      </c>
      <c r="F84" s="322">
        <f t="shared" si="22"/>
        <v>19777.944655214531</v>
      </c>
      <c r="G84" s="322">
        <f t="shared" si="22"/>
        <v>20626.728867106067</v>
      </c>
      <c r="H84" s="322">
        <f t="shared" si="22"/>
        <v>21466.757788594638</v>
      </c>
      <c r="I84" s="322">
        <f t="shared" si="22"/>
        <v>22378.187457061791</v>
      </c>
      <c r="J84" s="322">
        <f t="shared" si="22"/>
        <v>23500.566476739754</v>
      </c>
      <c r="K84" s="322">
        <f t="shared" si="22"/>
        <v>24736.370975474711</v>
      </c>
      <c r="L84" s="322">
        <f t="shared" si="22"/>
        <v>25678.16545610128</v>
      </c>
      <c r="M84" s="322">
        <f t="shared" si="22"/>
        <v>27147.717794176118</v>
      </c>
      <c r="N84" s="322">
        <f t="shared" si="22"/>
        <v>28670.465387299468</v>
      </c>
      <c r="O84" s="322">
        <f t="shared" si="22"/>
        <v>30173.846847439268</v>
      </c>
      <c r="P84" s="322">
        <f t="shared" si="22"/>
        <v>31694.660781270053</v>
      </c>
      <c r="Q84" s="322">
        <f t="shared" si="22"/>
        <v>33367.307845436662</v>
      </c>
      <c r="R84" s="322">
        <f t="shared" si="22"/>
        <v>35111.49715903894</v>
      </c>
      <c r="S84" s="322">
        <f t="shared" si="22"/>
        <v>36800.269739279182</v>
      </c>
      <c r="T84" s="322">
        <f t="shared" si="22"/>
        <v>38347.826111650735</v>
      </c>
      <c r="U84" s="322">
        <f t="shared" si="22"/>
        <v>39901.377016777369</v>
      </c>
      <c r="V84" s="96"/>
      <c r="W84" s="361">
        <f>SUM(B84:U84)</f>
        <v>519671.81994712836</v>
      </c>
      <c r="X84" s="400"/>
      <c r="Y84" s="400"/>
      <c r="Z84" s="400"/>
      <c r="AA84" s="400"/>
      <c r="AB84" s="400"/>
      <c r="AC84" s="4"/>
      <c r="AD84" s="4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</row>
    <row r="85" spans="1:45" s="3" customFormat="1">
      <c r="A85" s="38" t="s">
        <v>119</v>
      </c>
      <c r="B85" s="322">
        <f>B27</f>
        <v>6498.6597536713753</v>
      </c>
      <c r="C85" s="322">
        <f t="shared" ref="C85:U85" si="23">C27</f>
        <v>6498.6597536713753</v>
      </c>
      <c r="D85" s="322">
        <f t="shared" si="23"/>
        <v>6498.6597536713753</v>
      </c>
      <c r="E85" s="322">
        <f t="shared" si="23"/>
        <v>6498.6597536713753</v>
      </c>
      <c r="F85" s="322">
        <f t="shared" si="23"/>
        <v>6498.6597536713753</v>
      </c>
      <c r="G85" s="322">
        <f t="shared" si="23"/>
        <v>6498.6597536713753</v>
      </c>
      <c r="H85" s="322">
        <f t="shared" si="23"/>
        <v>6498.6597536713753</v>
      </c>
      <c r="I85" s="322">
        <f t="shared" si="23"/>
        <v>6498.6597536713753</v>
      </c>
      <c r="J85" s="322">
        <f t="shared" si="23"/>
        <v>6498.6597536713753</v>
      </c>
      <c r="K85" s="322">
        <f t="shared" si="23"/>
        <v>6498.6597536713753</v>
      </c>
      <c r="L85" s="322">
        <f t="shared" si="23"/>
        <v>6498.6597536713753</v>
      </c>
      <c r="M85" s="322">
        <f t="shared" si="23"/>
        <v>6498.6597536713753</v>
      </c>
      <c r="N85" s="322">
        <f t="shared" si="23"/>
        <v>6498.6597536713753</v>
      </c>
      <c r="O85" s="322">
        <f t="shared" si="23"/>
        <v>6498.6597536713753</v>
      </c>
      <c r="P85" s="322">
        <f t="shared" si="23"/>
        <v>6498.6597536713753</v>
      </c>
      <c r="Q85" s="322">
        <f t="shared" si="23"/>
        <v>6498.6597536713753</v>
      </c>
      <c r="R85" s="322">
        <f t="shared" si="23"/>
        <v>6498.6597536713753</v>
      </c>
      <c r="S85" s="322">
        <f t="shared" si="23"/>
        <v>6498.6597536713753</v>
      </c>
      <c r="T85" s="322">
        <f t="shared" si="23"/>
        <v>6498.6597536713753</v>
      </c>
      <c r="U85" s="322">
        <f t="shared" si="23"/>
        <v>6498.6597536713753</v>
      </c>
      <c r="V85" s="96"/>
      <c r="W85" s="361">
        <f>SUM(B85:U85)</f>
        <v>129973.19507342756</v>
      </c>
      <c r="X85" s="409">
        <f>MAX(X83,X78)</f>
        <v>0</v>
      </c>
      <c r="Y85" s="409">
        <f t="shared" ref="Y85:AQ85" si="24">MAX(Y83,Y78)</f>
        <v>0</v>
      </c>
      <c r="Z85" s="409">
        <f t="shared" si="24"/>
        <v>0</v>
      </c>
      <c r="AA85" s="409">
        <f t="shared" si="24"/>
        <v>0</v>
      </c>
      <c r="AB85" s="409">
        <f t="shared" si="24"/>
        <v>0</v>
      </c>
      <c r="AC85" s="409">
        <f t="shared" si="24"/>
        <v>0</v>
      </c>
      <c r="AD85" s="409">
        <f t="shared" si="24"/>
        <v>0</v>
      </c>
      <c r="AE85" s="409">
        <f t="shared" si="24"/>
        <v>0</v>
      </c>
      <c r="AF85" s="409">
        <f t="shared" si="24"/>
        <v>0</v>
      </c>
      <c r="AG85" s="409">
        <f t="shared" si="24"/>
        <v>0</v>
      </c>
      <c r="AH85" s="409">
        <f t="shared" si="24"/>
        <v>0</v>
      </c>
      <c r="AI85" s="409">
        <f t="shared" si="24"/>
        <v>0</v>
      </c>
      <c r="AJ85" s="409">
        <f t="shared" si="24"/>
        <v>0</v>
      </c>
      <c r="AK85" s="409">
        <f t="shared" si="24"/>
        <v>0</v>
      </c>
      <c r="AL85" s="409">
        <f t="shared" si="24"/>
        <v>0</v>
      </c>
      <c r="AM85" s="409">
        <f t="shared" si="24"/>
        <v>0</v>
      </c>
      <c r="AN85" s="409">
        <f t="shared" si="24"/>
        <v>0</v>
      </c>
      <c r="AO85" s="409">
        <f t="shared" si="24"/>
        <v>0</v>
      </c>
      <c r="AP85" s="409">
        <f t="shared" si="24"/>
        <v>0</v>
      </c>
      <c r="AQ85" s="409">
        <f t="shared" si="24"/>
        <v>0</v>
      </c>
      <c r="AR85" s="2"/>
      <c r="AS85" s="2"/>
    </row>
    <row r="86" spans="1:45" s="3" customFormat="1" ht="15">
      <c r="A86" s="38" t="s">
        <v>178</v>
      </c>
      <c r="B86" s="369">
        <f>-Depreciation!C51</f>
        <v>-10831.099589452293</v>
      </c>
      <c r="C86" s="369">
        <f>-Depreciation!D51</f>
        <v>-20579.089219959355</v>
      </c>
      <c r="D86" s="369">
        <f>-Depreciation!E51</f>
        <v>-18521.180297963419</v>
      </c>
      <c r="E86" s="369">
        <f>-Depreciation!F51</f>
        <v>-16679.893367756529</v>
      </c>
      <c r="F86" s="369">
        <f>-Depreciation!G51</f>
        <v>-15011.904030980877</v>
      </c>
      <c r="G86" s="369">
        <f>-Depreciation!H51</f>
        <v>-13495.550088457556</v>
      </c>
      <c r="H86" s="369">
        <f>-Depreciation!I51</f>
        <v>-12780.697515553704</v>
      </c>
      <c r="I86" s="369">
        <f>-Depreciation!J51</f>
        <v>-12802.359714732609</v>
      </c>
      <c r="J86" s="369">
        <f>-Depreciation!K51</f>
        <v>-12780.697515553704</v>
      </c>
      <c r="K86" s="369">
        <f>-Depreciation!L51</f>
        <v>-12802.359714732609</v>
      </c>
      <c r="L86" s="369">
        <f>-Depreciation!M51</f>
        <v>-12780.697515553704</v>
      </c>
      <c r="M86" s="369">
        <f>-Depreciation!N51</f>
        <v>-12802.359714732609</v>
      </c>
      <c r="N86" s="369">
        <f>-Depreciation!O51</f>
        <v>-12780.697515553704</v>
      </c>
      <c r="O86" s="369">
        <f>-Depreciation!P51</f>
        <v>-12802.359714732609</v>
      </c>
      <c r="P86" s="369">
        <f>-Depreciation!Q51</f>
        <v>-12780.697515553704</v>
      </c>
      <c r="Q86" s="369">
        <f>-Depreciation!R51</f>
        <v>-6390.3487577768519</v>
      </c>
      <c r="R86" s="369">
        <f>-Depreciation!S51</f>
        <v>0</v>
      </c>
      <c r="S86" s="369">
        <f>-Depreciation!T51</f>
        <v>0</v>
      </c>
      <c r="T86" s="369">
        <f>-Depreciation!U51</f>
        <v>0</v>
      </c>
      <c r="U86" s="369">
        <f>-Depreciation!V51</f>
        <v>0</v>
      </c>
      <c r="V86" s="96"/>
      <c r="W86" s="370">
        <f>SUM(B86:U86)</f>
        <v>-216621.99178904589</v>
      </c>
      <c r="X86" s="400"/>
      <c r="Y86" s="400"/>
      <c r="Z86" s="400"/>
      <c r="AA86" s="400"/>
      <c r="AB86" s="400"/>
      <c r="AC86" s="4"/>
      <c r="AD86" s="4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</row>
    <row r="87" spans="1:45" s="1" customFormat="1">
      <c r="A87" s="327" t="s">
        <v>118</v>
      </c>
      <c r="B87" s="267">
        <f t="shared" ref="B87:U87" si="25">SUM(B84:B86)</f>
        <v>8296.7296506457606</v>
      </c>
      <c r="C87" s="267">
        <f t="shared" si="25"/>
        <v>86.146972643986373</v>
      </c>
      <c r="D87" s="267">
        <f t="shared" si="25"/>
        <v>3824.2614482613171</v>
      </c>
      <c r="E87" s="267">
        <f t="shared" si="25"/>
        <v>7468.3680564706592</v>
      </c>
      <c r="F87" s="267">
        <f t="shared" si="25"/>
        <v>11264.700377905028</v>
      </c>
      <c r="G87" s="267">
        <f t="shared" si="25"/>
        <v>13629.838532319885</v>
      </c>
      <c r="H87" s="267">
        <f t="shared" si="25"/>
        <v>15184.720026712308</v>
      </c>
      <c r="I87" s="267">
        <f t="shared" si="25"/>
        <v>16074.487496000556</v>
      </c>
      <c r="J87" s="267">
        <f t="shared" si="25"/>
        <v>17218.528714857424</v>
      </c>
      <c r="K87" s="267">
        <f t="shared" si="25"/>
        <v>18432.671014413478</v>
      </c>
      <c r="L87" s="267">
        <f t="shared" si="25"/>
        <v>19396.127694218951</v>
      </c>
      <c r="M87" s="267">
        <f t="shared" si="25"/>
        <v>20844.017833114885</v>
      </c>
      <c r="N87" s="267">
        <f t="shared" si="25"/>
        <v>22388.427625417138</v>
      </c>
      <c r="O87" s="267">
        <f t="shared" si="25"/>
        <v>23870.146886378039</v>
      </c>
      <c r="P87" s="267">
        <f t="shared" si="25"/>
        <v>25412.623019387724</v>
      </c>
      <c r="Q87" s="267">
        <f t="shared" si="25"/>
        <v>33475.618841331183</v>
      </c>
      <c r="R87" s="267">
        <f t="shared" si="25"/>
        <v>41610.156912710314</v>
      </c>
      <c r="S87" s="267">
        <f t="shared" si="25"/>
        <v>43298.929492950556</v>
      </c>
      <c r="T87" s="267">
        <f t="shared" si="25"/>
        <v>44846.485865322109</v>
      </c>
      <c r="U87" s="267">
        <f t="shared" si="25"/>
        <v>46400.036770448743</v>
      </c>
      <c r="V87" s="96"/>
      <c r="W87" s="361">
        <f>SUM(B87:U87)</f>
        <v>433023.02323151001</v>
      </c>
      <c r="X87" s="4"/>
      <c r="Y87" s="4"/>
      <c r="Z87" s="4"/>
      <c r="AA87" s="4"/>
      <c r="AB87" s="4"/>
      <c r="AC87" s="4"/>
      <c r="AD87" s="4"/>
    </row>
    <row r="88" spans="1:45" s="1" customFormat="1">
      <c r="A88" s="38"/>
      <c r="B88" s="267"/>
      <c r="C88" s="267"/>
      <c r="D88" s="267"/>
      <c r="E88" s="267"/>
      <c r="F88" s="267"/>
      <c r="G88" s="267"/>
      <c r="H88" s="267"/>
      <c r="I88" s="267"/>
      <c r="J88" s="267"/>
      <c r="K88" s="267"/>
      <c r="L88" s="267"/>
      <c r="M88" s="267"/>
      <c r="N88" s="267"/>
      <c r="O88" s="267"/>
      <c r="P88" s="267"/>
      <c r="Q88" s="267"/>
      <c r="R88" s="267"/>
      <c r="S88" s="267"/>
      <c r="T88" s="267"/>
      <c r="U88" s="267"/>
      <c r="V88" s="96"/>
      <c r="W88" s="96"/>
      <c r="X88" s="4"/>
      <c r="Y88" s="4"/>
      <c r="Z88" s="4"/>
      <c r="AA88" s="4"/>
      <c r="AB88" s="4"/>
      <c r="AC88" s="4"/>
      <c r="AD88" s="4"/>
    </row>
    <row r="89" spans="1:45" s="1" customFormat="1">
      <c r="A89" s="38" t="s">
        <v>35</v>
      </c>
      <c r="B89" s="371">
        <f>Assumptions!$D$38</f>
        <v>4.4999999999999998E-2</v>
      </c>
      <c r="C89" s="371">
        <f>Assumptions!$D$38</f>
        <v>4.4999999999999998E-2</v>
      </c>
      <c r="D89" s="371">
        <f>Assumptions!$D$38</f>
        <v>4.4999999999999998E-2</v>
      </c>
      <c r="E89" s="371">
        <f>Assumptions!$D$38</f>
        <v>4.4999999999999998E-2</v>
      </c>
      <c r="F89" s="371">
        <f>Assumptions!$D$38</f>
        <v>4.4999999999999998E-2</v>
      </c>
      <c r="G89" s="371">
        <f>Assumptions!$D$38</f>
        <v>4.4999999999999998E-2</v>
      </c>
      <c r="H89" s="371">
        <f>Assumptions!$D$38</f>
        <v>4.4999999999999998E-2</v>
      </c>
      <c r="I89" s="371">
        <f>Assumptions!$D$38</f>
        <v>4.4999999999999998E-2</v>
      </c>
      <c r="J89" s="371">
        <f>Assumptions!$D$38</f>
        <v>4.4999999999999998E-2</v>
      </c>
      <c r="K89" s="371">
        <f>Assumptions!$D$38</f>
        <v>4.4999999999999998E-2</v>
      </c>
      <c r="L89" s="371">
        <f>Assumptions!$D$38</f>
        <v>4.4999999999999998E-2</v>
      </c>
      <c r="M89" s="371">
        <f>Assumptions!$D$38</f>
        <v>4.4999999999999998E-2</v>
      </c>
      <c r="N89" s="371">
        <f>Assumptions!$D$38</f>
        <v>4.4999999999999998E-2</v>
      </c>
      <c r="O89" s="371">
        <f>Assumptions!$D$38</f>
        <v>4.4999999999999998E-2</v>
      </c>
      <c r="P89" s="371">
        <f>Assumptions!$D$38</f>
        <v>4.4999999999999998E-2</v>
      </c>
      <c r="Q89" s="371">
        <f>Assumptions!$D$38</f>
        <v>4.4999999999999998E-2</v>
      </c>
      <c r="R89" s="371">
        <f>Assumptions!$D$38</f>
        <v>4.4999999999999998E-2</v>
      </c>
      <c r="S89" s="371">
        <f>Assumptions!$D$38</f>
        <v>4.4999999999999998E-2</v>
      </c>
      <c r="T89" s="371">
        <f>Assumptions!$D$38</f>
        <v>4.4999999999999998E-2</v>
      </c>
      <c r="U89" s="371">
        <f>Assumptions!$D$38</f>
        <v>4.4999999999999998E-2</v>
      </c>
      <c r="V89" s="96"/>
      <c r="W89" s="96"/>
      <c r="X89" s="4"/>
      <c r="Y89" s="4"/>
      <c r="Z89" s="4"/>
      <c r="AA89" s="4"/>
      <c r="AB89" s="4"/>
      <c r="AC89" s="4"/>
      <c r="AD89" s="4"/>
    </row>
    <row r="90" spans="1:45">
      <c r="A90" s="38" t="s">
        <v>120</v>
      </c>
      <c r="B90" s="322">
        <f>B87*B89</f>
        <v>373.35283427905921</v>
      </c>
      <c r="C90" s="322">
        <f t="shared" ref="C90:U90" si="26">C87*C89</f>
        <v>3.8766137689793867</v>
      </c>
      <c r="D90" s="322">
        <f t="shared" si="26"/>
        <v>172.09176517175928</v>
      </c>
      <c r="E90" s="322">
        <f t="shared" si="26"/>
        <v>336.07656254117967</v>
      </c>
      <c r="F90" s="322">
        <f t="shared" si="26"/>
        <v>506.91151700572624</v>
      </c>
      <c r="G90" s="322">
        <f t="shared" si="26"/>
        <v>613.34273395439482</v>
      </c>
      <c r="H90" s="322">
        <f t="shared" si="26"/>
        <v>683.31240120205382</v>
      </c>
      <c r="I90" s="322">
        <f t="shared" si="26"/>
        <v>723.35193732002506</v>
      </c>
      <c r="J90" s="322">
        <f t="shared" si="26"/>
        <v>774.83379216858407</v>
      </c>
      <c r="K90" s="322">
        <f t="shared" si="26"/>
        <v>829.47019564860648</v>
      </c>
      <c r="L90" s="322">
        <f t="shared" si="26"/>
        <v>872.82574623985272</v>
      </c>
      <c r="M90" s="322">
        <f t="shared" si="26"/>
        <v>937.98080249016982</v>
      </c>
      <c r="N90" s="322">
        <f t="shared" si="26"/>
        <v>1007.4792431437712</v>
      </c>
      <c r="O90" s="322">
        <f t="shared" si="26"/>
        <v>1074.1566098870117</v>
      </c>
      <c r="P90" s="322">
        <f t="shared" si="26"/>
        <v>1143.5680358724476</v>
      </c>
      <c r="Q90" s="322">
        <f t="shared" si="26"/>
        <v>1506.4028478599032</v>
      </c>
      <c r="R90" s="322">
        <f t="shared" si="26"/>
        <v>1872.4570610719641</v>
      </c>
      <c r="S90" s="322">
        <f t="shared" si="26"/>
        <v>1948.4518271827749</v>
      </c>
      <c r="T90" s="322">
        <f t="shared" si="26"/>
        <v>2018.0918639394949</v>
      </c>
      <c r="U90" s="322">
        <f t="shared" si="26"/>
        <v>2088.0016546701936</v>
      </c>
    </row>
    <row r="91" spans="1:45">
      <c r="A91" s="38"/>
      <c r="B91" s="267"/>
      <c r="C91" s="267"/>
      <c r="D91" s="267"/>
      <c r="E91" s="267"/>
      <c r="F91" s="267"/>
      <c r="G91" s="267"/>
      <c r="H91" s="267"/>
      <c r="I91" s="267"/>
      <c r="J91" s="267"/>
      <c r="K91" s="267"/>
      <c r="L91" s="267"/>
      <c r="M91" s="267"/>
      <c r="N91" s="267"/>
      <c r="O91" s="267"/>
      <c r="P91" s="267"/>
      <c r="Q91" s="267"/>
      <c r="R91" s="267"/>
      <c r="S91" s="267"/>
      <c r="T91" s="267"/>
      <c r="U91" s="267"/>
    </row>
    <row r="92" spans="1:45">
      <c r="A92" s="38" t="s">
        <v>121</v>
      </c>
      <c r="B92" s="322">
        <v>0</v>
      </c>
      <c r="C92" s="322">
        <f t="shared" ref="C92:U92" si="27">B96</f>
        <v>0</v>
      </c>
      <c r="D92" s="322">
        <f t="shared" si="27"/>
        <v>0</v>
      </c>
      <c r="E92" s="322">
        <f t="shared" si="27"/>
        <v>0</v>
      </c>
      <c r="F92" s="322">
        <f t="shared" si="27"/>
        <v>0</v>
      </c>
      <c r="G92" s="322">
        <f t="shared" si="27"/>
        <v>0</v>
      </c>
      <c r="H92" s="322">
        <f t="shared" si="27"/>
        <v>0</v>
      </c>
      <c r="I92" s="322">
        <f t="shared" si="27"/>
        <v>0</v>
      </c>
      <c r="J92" s="322">
        <f t="shared" si="27"/>
        <v>0</v>
      </c>
      <c r="K92" s="322">
        <f t="shared" si="27"/>
        <v>0</v>
      </c>
      <c r="L92" s="322">
        <f t="shared" si="27"/>
        <v>0</v>
      </c>
      <c r="M92" s="322">
        <f t="shared" si="27"/>
        <v>0</v>
      </c>
      <c r="N92" s="322">
        <f>M96</f>
        <v>0</v>
      </c>
      <c r="O92" s="322">
        <f t="shared" si="27"/>
        <v>0</v>
      </c>
      <c r="P92" s="322">
        <f t="shared" si="27"/>
        <v>0</v>
      </c>
      <c r="Q92" s="322">
        <f t="shared" si="27"/>
        <v>0</v>
      </c>
      <c r="R92" s="322">
        <v>0</v>
      </c>
      <c r="S92" s="322">
        <f t="shared" si="27"/>
        <v>0</v>
      </c>
      <c r="T92" s="322">
        <f t="shared" si="27"/>
        <v>0</v>
      </c>
      <c r="U92" s="322">
        <f t="shared" si="27"/>
        <v>0</v>
      </c>
    </row>
    <row r="93" spans="1:45">
      <c r="A93" s="38" t="s">
        <v>122</v>
      </c>
      <c r="B93" s="332">
        <f t="shared" ref="B93:U93" si="28">IF(B62&gt;2020,0,IF(B90&lt;0,-B90,0))</f>
        <v>0</v>
      </c>
      <c r="C93" s="332">
        <f t="shared" si="28"/>
        <v>0</v>
      </c>
      <c r="D93" s="332">
        <f t="shared" si="28"/>
        <v>0</v>
      </c>
      <c r="E93" s="332">
        <f t="shared" si="28"/>
        <v>0</v>
      </c>
      <c r="F93" s="332">
        <f t="shared" si="28"/>
        <v>0</v>
      </c>
      <c r="G93" s="332">
        <f t="shared" si="28"/>
        <v>0</v>
      </c>
      <c r="H93" s="332">
        <f t="shared" si="28"/>
        <v>0</v>
      </c>
      <c r="I93" s="332">
        <f t="shared" si="28"/>
        <v>0</v>
      </c>
      <c r="J93" s="332">
        <f t="shared" si="28"/>
        <v>0</v>
      </c>
      <c r="K93" s="332">
        <f t="shared" si="28"/>
        <v>0</v>
      </c>
      <c r="L93" s="332">
        <f t="shared" si="28"/>
        <v>0</v>
      </c>
      <c r="M93" s="332">
        <f t="shared" si="28"/>
        <v>0</v>
      </c>
      <c r="N93" s="332">
        <f t="shared" si="28"/>
        <v>0</v>
      </c>
      <c r="O93" s="332">
        <f t="shared" si="28"/>
        <v>0</v>
      </c>
      <c r="P93" s="332">
        <f t="shared" si="28"/>
        <v>0</v>
      </c>
      <c r="Q93" s="332">
        <f t="shared" si="28"/>
        <v>0</v>
      </c>
      <c r="R93" s="332">
        <f t="shared" si="28"/>
        <v>0</v>
      </c>
      <c r="S93" s="332">
        <f t="shared" si="28"/>
        <v>0</v>
      </c>
      <c r="T93" s="332">
        <f t="shared" si="28"/>
        <v>0</v>
      </c>
      <c r="U93" s="332">
        <f t="shared" si="28"/>
        <v>0</v>
      </c>
    </row>
    <row r="94" spans="1:45">
      <c r="A94" s="38" t="s">
        <v>123</v>
      </c>
      <c r="B94" s="372">
        <v>0</v>
      </c>
      <c r="C94" s="372">
        <v>0</v>
      </c>
      <c r="D94" s="372">
        <v>0</v>
      </c>
      <c r="E94" s="372">
        <v>0</v>
      </c>
      <c r="F94" s="372">
        <v>0</v>
      </c>
      <c r="G94" s="372">
        <v>0</v>
      </c>
      <c r="H94" s="372">
        <v>0</v>
      </c>
      <c r="I94" s="372">
        <v>0</v>
      </c>
      <c r="J94" s="372">
        <v>0</v>
      </c>
      <c r="K94" s="372">
        <v>0</v>
      </c>
      <c r="L94" s="372">
        <v>0</v>
      </c>
      <c r="M94" s="372">
        <v>0</v>
      </c>
      <c r="N94" s="372">
        <v>0</v>
      </c>
      <c r="O94" s="372">
        <v>0</v>
      </c>
      <c r="P94" s="372">
        <v>0</v>
      </c>
      <c r="Q94" s="372">
        <v>0</v>
      </c>
      <c r="R94" s="372">
        <v>0</v>
      </c>
      <c r="S94" s="372">
        <v>0</v>
      </c>
      <c r="T94" s="322">
        <f>IF(L93&gt;(SUM(M95:S95)+SUM(L94:S94))*-1,L93-(SUM(L95:S95)+SUM(L94:S94))*-1,0)</f>
        <v>0</v>
      </c>
      <c r="U94" s="322">
        <f>IF(M93&gt;(SUM(N95:T95)+SUM(M94:T94))*-1,M93-(SUM(M95:T95)+SUM(M94:T94))*-1,0)</f>
        <v>0</v>
      </c>
    </row>
    <row r="95" spans="1:45">
      <c r="A95" s="9" t="s">
        <v>124</v>
      </c>
      <c r="B95" s="373">
        <f t="shared" ref="B95:T95" si="29">IF(B90&lt;0,0,IF(B92&gt;B90,-B90,-B92))</f>
        <v>0</v>
      </c>
      <c r="C95" s="373">
        <f t="shared" si="29"/>
        <v>0</v>
      </c>
      <c r="D95" s="373">
        <f t="shared" si="29"/>
        <v>0</v>
      </c>
      <c r="E95" s="373">
        <f t="shared" si="29"/>
        <v>0</v>
      </c>
      <c r="F95" s="373">
        <f t="shared" si="29"/>
        <v>0</v>
      </c>
      <c r="G95" s="373">
        <f t="shared" si="29"/>
        <v>0</v>
      </c>
      <c r="H95" s="373">
        <f t="shared" si="29"/>
        <v>0</v>
      </c>
      <c r="I95" s="373">
        <f t="shared" si="29"/>
        <v>0</v>
      </c>
      <c r="J95" s="373">
        <f t="shared" si="29"/>
        <v>0</v>
      </c>
      <c r="K95" s="373">
        <f t="shared" si="29"/>
        <v>0</v>
      </c>
      <c r="L95" s="373">
        <f t="shared" si="29"/>
        <v>0</v>
      </c>
      <c r="M95" s="373">
        <f t="shared" si="29"/>
        <v>0</v>
      </c>
      <c r="N95" s="373">
        <f t="shared" si="29"/>
        <v>0</v>
      </c>
      <c r="O95" s="373">
        <f t="shared" si="29"/>
        <v>0</v>
      </c>
      <c r="P95" s="373">
        <f t="shared" si="29"/>
        <v>0</v>
      </c>
      <c r="Q95" s="373">
        <f t="shared" si="29"/>
        <v>0</v>
      </c>
      <c r="R95" s="373">
        <f t="shared" si="29"/>
        <v>0</v>
      </c>
      <c r="S95" s="373">
        <f t="shared" si="29"/>
        <v>0</v>
      </c>
      <c r="T95" s="373">
        <f t="shared" si="29"/>
        <v>0</v>
      </c>
      <c r="U95" s="373">
        <f>IF(U90&lt;0,0,IF(U92&gt;U90,-U90,-U92))</f>
        <v>0</v>
      </c>
    </row>
    <row r="96" spans="1:45">
      <c r="A96" s="9" t="s">
        <v>125</v>
      </c>
      <c r="B96" s="373">
        <f t="shared" ref="B96:U96" si="30">SUM(B92:B95)</f>
        <v>0</v>
      </c>
      <c r="C96" s="373">
        <f t="shared" si="30"/>
        <v>0</v>
      </c>
      <c r="D96" s="373">
        <f t="shared" si="30"/>
        <v>0</v>
      </c>
      <c r="E96" s="373">
        <f t="shared" si="30"/>
        <v>0</v>
      </c>
      <c r="F96" s="373">
        <f t="shared" si="30"/>
        <v>0</v>
      </c>
      <c r="G96" s="373">
        <f t="shared" si="30"/>
        <v>0</v>
      </c>
      <c r="H96" s="373">
        <f t="shared" si="30"/>
        <v>0</v>
      </c>
      <c r="I96" s="373">
        <f t="shared" si="30"/>
        <v>0</v>
      </c>
      <c r="J96" s="373">
        <f t="shared" si="30"/>
        <v>0</v>
      </c>
      <c r="K96" s="373">
        <f t="shared" si="30"/>
        <v>0</v>
      </c>
      <c r="L96" s="373">
        <f t="shared" si="30"/>
        <v>0</v>
      </c>
      <c r="M96" s="373">
        <f t="shared" si="30"/>
        <v>0</v>
      </c>
      <c r="N96" s="373">
        <f t="shared" si="30"/>
        <v>0</v>
      </c>
      <c r="O96" s="373">
        <f t="shared" si="30"/>
        <v>0</v>
      </c>
      <c r="P96" s="373">
        <f t="shared" si="30"/>
        <v>0</v>
      </c>
      <c r="Q96" s="373">
        <f t="shared" si="30"/>
        <v>0</v>
      </c>
      <c r="R96" s="373">
        <f t="shared" si="30"/>
        <v>0</v>
      </c>
      <c r="S96" s="373">
        <f t="shared" si="30"/>
        <v>0</v>
      </c>
      <c r="T96" s="373">
        <f t="shared" si="30"/>
        <v>0</v>
      </c>
      <c r="U96" s="373">
        <f t="shared" si="30"/>
        <v>0</v>
      </c>
    </row>
    <row r="97" spans="1:23">
      <c r="A97" s="9"/>
      <c r="B97" s="267"/>
      <c r="C97" s="267"/>
      <c r="D97" s="267"/>
      <c r="E97" s="267"/>
      <c r="F97" s="267"/>
      <c r="G97" s="267"/>
      <c r="H97" s="267"/>
      <c r="I97" s="267"/>
      <c r="J97" s="267"/>
      <c r="K97" s="267"/>
      <c r="L97" s="267"/>
      <c r="M97" s="267"/>
      <c r="N97" s="267"/>
      <c r="O97" s="267"/>
      <c r="P97" s="267"/>
      <c r="Q97" s="267"/>
      <c r="R97" s="267"/>
      <c r="S97" s="267"/>
      <c r="T97" s="267"/>
      <c r="U97" s="267"/>
    </row>
    <row r="98" spans="1:23" ht="13.5" thickBot="1">
      <c r="A98" s="14" t="s">
        <v>117</v>
      </c>
      <c r="B98" s="412">
        <f>IF(B90&lt;0,0,B90+B95)</f>
        <v>373.35283427905921</v>
      </c>
      <c r="C98" s="412">
        <f t="shared" ref="C98:U98" si="31">IF(C90&lt;0,0,C90+C95)</f>
        <v>3.8766137689793867</v>
      </c>
      <c r="D98" s="412">
        <f t="shared" si="31"/>
        <v>172.09176517175928</v>
      </c>
      <c r="E98" s="412">
        <f t="shared" si="31"/>
        <v>336.07656254117967</v>
      </c>
      <c r="F98" s="412">
        <f t="shared" si="31"/>
        <v>506.91151700572624</v>
      </c>
      <c r="G98" s="412">
        <f t="shared" si="31"/>
        <v>613.34273395439482</v>
      </c>
      <c r="H98" s="412">
        <f t="shared" si="31"/>
        <v>683.31240120205382</v>
      </c>
      <c r="I98" s="412">
        <f t="shared" si="31"/>
        <v>723.35193732002506</v>
      </c>
      <c r="J98" s="412">
        <f t="shared" si="31"/>
        <v>774.83379216858407</v>
      </c>
      <c r="K98" s="412">
        <f t="shared" si="31"/>
        <v>829.47019564860648</v>
      </c>
      <c r="L98" s="412">
        <f t="shared" si="31"/>
        <v>872.82574623985272</v>
      </c>
      <c r="M98" s="412">
        <f t="shared" si="31"/>
        <v>937.98080249016982</v>
      </c>
      <c r="N98" s="412">
        <f t="shared" si="31"/>
        <v>1007.4792431437712</v>
      </c>
      <c r="O98" s="412">
        <f t="shared" si="31"/>
        <v>1074.1566098870117</v>
      </c>
      <c r="P98" s="412">
        <f t="shared" si="31"/>
        <v>1143.5680358724476</v>
      </c>
      <c r="Q98" s="412">
        <f t="shared" si="31"/>
        <v>1506.4028478599032</v>
      </c>
      <c r="R98" s="412">
        <f t="shared" si="31"/>
        <v>1872.4570610719641</v>
      </c>
      <c r="S98" s="412">
        <f t="shared" si="31"/>
        <v>1948.4518271827749</v>
      </c>
      <c r="T98" s="412">
        <f t="shared" si="31"/>
        <v>2018.0918639394949</v>
      </c>
      <c r="U98" s="412">
        <f t="shared" si="31"/>
        <v>2088.0016546701936</v>
      </c>
      <c r="W98" s="177">
        <f>SUM(B98:U98)</f>
        <v>19486.036045417954</v>
      </c>
    </row>
    <row r="99" spans="1:23" ht="13.5" thickTop="1">
      <c r="A99" s="381"/>
      <c r="B99" s="376"/>
      <c r="C99" s="376"/>
      <c r="D99" s="208"/>
      <c r="E99" s="208"/>
      <c r="F99" s="208"/>
      <c r="G99" s="208"/>
      <c r="H99" s="208"/>
      <c r="I99" s="208"/>
      <c r="J99" s="208"/>
      <c r="K99" s="208"/>
      <c r="L99" s="208"/>
      <c r="M99" s="208"/>
      <c r="N99" s="208"/>
      <c r="O99" s="208"/>
      <c r="P99" s="208"/>
      <c r="Q99" s="208"/>
      <c r="R99" s="208"/>
      <c r="S99" s="208"/>
      <c r="T99" s="208"/>
      <c r="U99" s="208"/>
    </row>
    <row r="100" spans="1:23" ht="13.5" thickBot="1">
      <c r="A100" s="14" t="s">
        <v>206</v>
      </c>
      <c r="B100" s="412">
        <f>B79+B98</f>
        <v>802.74459681756639</v>
      </c>
      <c r="C100" s="412">
        <f t="shared" ref="C100:U100" si="32">C79+C98</f>
        <v>485.54021269266622</v>
      </c>
      <c r="D100" s="412">
        <f t="shared" si="32"/>
        <v>710.88235291857359</v>
      </c>
      <c r="E100" s="412">
        <f t="shared" si="32"/>
        <v>936.16301934007743</v>
      </c>
      <c r="F100" s="412">
        <f t="shared" si="32"/>
        <v>1179.3616352830204</v>
      </c>
      <c r="G100" s="412">
        <f t="shared" si="32"/>
        <v>1314.6515154360011</v>
      </c>
      <c r="H100" s="412">
        <f t="shared" si="32"/>
        <v>1413.1821660142714</v>
      </c>
      <c r="I100" s="412">
        <f t="shared" si="32"/>
        <v>1484.2103108601259</v>
      </c>
      <c r="J100" s="412">
        <f t="shared" si="32"/>
        <v>1573.8530523777358</v>
      </c>
      <c r="K100" s="412">
        <f t="shared" si="32"/>
        <v>1670.5068088147468</v>
      </c>
      <c r="L100" s="412">
        <f t="shared" si="32"/>
        <v>1745.8833717472962</v>
      </c>
      <c r="M100" s="412">
        <f t="shared" si="32"/>
        <v>1861.0032074921578</v>
      </c>
      <c r="N100" s="412">
        <f t="shared" si="32"/>
        <v>1982.2750663119532</v>
      </c>
      <c r="O100" s="412">
        <f t="shared" si="32"/>
        <v>2100.0674026999468</v>
      </c>
      <c r="P100" s="412">
        <f t="shared" si="32"/>
        <v>2221.1865024356293</v>
      </c>
      <c r="Q100" s="412">
        <f t="shared" si="32"/>
        <v>2640.8913146047498</v>
      </c>
      <c r="R100" s="412">
        <f t="shared" si="32"/>
        <v>3066.2479644792884</v>
      </c>
      <c r="S100" s="412">
        <f t="shared" si="32"/>
        <v>3199.660998318267</v>
      </c>
      <c r="T100" s="412">
        <f t="shared" si="32"/>
        <v>3321.9179517356197</v>
      </c>
      <c r="U100" s="412">
        <f t="shared" si="32"/>
        <v>3444.6484732406243</v>
      </c>
      <c r="W100" s="177">
        <f>SUM(B100:U100)</f>
        <v>37154.877923620319</v>
      </c>
    </row>
    <row r="101" spans="1:23" ht="13.5" thickTop="1"/>
  </sheetData>
  <pageMargins left="0.75" right="0.75" top="1" bottom="1" header="0.5" footer="0.5"/>
  <pageSetup scale="35" orientation="landscape" r:id="rId1"/>
  <headerFooter alignWithMargins="0">
    <oddHeader>&amp;L&amp;12Enron's Generation&amp;RCONFIDENTIAL</oddHeader>
    <oddFooter>&amp;L&amp;D&amp;C&amp;F&amp;RPage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S91"/>
  <sheetViews>
    <sheetView zoomScaleNormal="75" workbookViewId="0">
      <pane xSplit="1" ySplit="5" topLeftCell="B6" activePane="bottomRight" state="frozen"/>
      <selection pane="topRight"/>
      <selection pane="bottomLeft"/>
      <selection pane="bottomRight" activeCell="B6" sqref="B6"/>
    </sheetView>
  </sheetViews>
  <sheetFormatPr defaultRowHeight="12.75"/>
  <cols>
    <col min="1" max="1" width="47.28515625" style="6" customWidth="1"/>
    <col min="2" max="21" width="10.7109375" style="6" customWidth="1"/>
    <col min="22" max="22" width="9.140625" style="96"/>
    <col min="23" max="23" width="11.42578125" style="96" bestFit="1" customWidth="1"/>
    <col min="24" max="16384" width="9.140625" style="96"/>
  </cols>
  <sheetData>
    <row r="1" spans="1:45"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</row>
    <row r="2" spans="1:45" ht="18">
      <c r="A2" s="157" t="s">
        <v>84</v>
      </c>
      <c r="B2" s="336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</row>
    <row r="5" spans="1:45" ht="13.5" thickBot="1">
      <c r="A5" s="162" t="s">
        <v>49</v>
      </c>
      <c r="B5" s="163">
        <v>2001</v>
      </c>
      <c r="C5" s="163">
        <v>2002</v>
      </c>
      <c r="D5" s="163">
        <v>2003</v>
      </c>
      <c r="E5" s="163">
        <v>2004</v>
      </c>
      <c r="F5" s="163">
        <v>2005</v>
      </c>
      <c r="G5" s="163">
        <v>2006</v>
      </c>
      <c r="H5" s="163">
        <v>2007</v>
      </c>
      <c r="I5" s="163">
        <v>2008</v>
      </c>
      <c r="J5" s="163">
        <v>2009</v>
      </c>
      <c r="K5" s="163">
        <v>2010</v>
      </c>
      <c r="L5" s="163">
        <v>2011</v>
      </c>
      <c r="M5" s="163">
        <v>2012</v>
      </c>
      <c r="N5" s="163">
        <v>2013</v>
      </c>
      <c r="O5" s="163">
        <v>2014</v>
      </c>
      <c r="P5" s="163">
        <v>2015</v>
      </c>
      <c r="Q5" s="163">
        <v>2016</v>
      </c>
      <c r="R5" s="163">
        <v>2017</v>
      </c>
      <c r="S5" s="163">
        <v>2018</v>
      </c>
      <c r="T5" s="163">
        <v>2019</v>
      </c>
      <c r="U5" s="163">
        <v>2020</v>
      </c>
    </row>
    <row r="6" spans="1:45">
      <c r="A6" s="167"/>
      <c r="B6" s="168"/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</row>
    <row r="7" spans="1:45">
      <c r="A7" s="171" t="s">
        <v>50</v>
      </c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337"/>
      <c r="W7" s="337"/>
      <c r="X7" s="337"/>
      <c r="Y7" s="165">
        <f>SUM(Z7:AS7)-SUM(Z8:AS8)</f>
        <v>0</v>
      </c>
      <c r="Z7" s="166">
        <f>B10</f>
        <v>4330.12</v>
      </c>
      <c r="AA7" s="166">
        <f>C10</f>
        <v>4460.0235999999995</v>
      </c>
      <c r="AB7" s="166">
        <f>D10</f>
        <v>4593.8243080000002</v>
      </c>
      <c r="AC7" s="166">
        <f t="shared" ref="AC7:AS7" si="0">E10</f>
        <v>4731.6390372399992</v>
      </c>
      <c r="AD7" s="166">
        <f t="shared" si="0"/>
        <v>4873.5882083571996</v>
      </c>
      <c r="AE7" s="166">
        <f t="shared" si="0"/>
        <v>5019.7958546079153</v>
      </c>
      <c r="AF7" s="166">
        <f t="shared" si="0"/>
        <v>5170.3897302461537</v>
      </c>
      <c r="AG7" s="166">
        <f t="shared" si="0"/>
        <v>5325.5014221535375</v>
      </c>
      <c r="AH7" s="166">
        <f t="shared" si="0"/>
        <v>5485.2664648181426</v>
      </c>
      <c r="AI7" s="166">
        <f t="shared" si="0"/>
        <v>5649.8244587626887</v>
      </c>
      <c r="AJ7" s="166">
        <f t="shared" si="0"/>
        <v>5819.3191925255687</v>
      </c>
      <c r="AK7" s="166">
        <f t="shared" si="0"/>
        <v>5993.8987683013347</v>
      </c>
      <c r="AL7" s="166">
        <f t="shared" si="0"/>
        <v>6173.7157313503749</v>
      </c>
      <c r="AM7" s="166">
        <f t="shared" si="0"/>
        <v>6358.9272032908866</v>
      </c>
      <c r="AN7" s="166">
        <f t="shared" si="0"/>
        <v>6549.6950193896137</v>
      </c>
      <c r="AO7" s="166">
        <f t="shared" si="0"/>
        <v>6746.1858699713002</v>
      </c>
      <c r="AP7" s="166">
        <f t="shared" si="0"/>
        <v>6948.5714460704403</v>
      </c>
      <c r="AQ7" s="166">
        <f t="shared" si="0"/>
        <v>7157.0285894525532</v>
      </c>
      <c r="AR7" s="166">
        <f t="shared" si="0"/>
        <v>7371.7394471361295</v>
      </c>
      <c r="AS7" s="166">
        <f t="shared" si="0"/>
        <v>7592.8916305502144</v>
      </c>
    </row>
    <row r="8" spans="1:45">
      <c r="A8" s="173" t="s">
        <v>227</v>
      </c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W8" s="172"/>
      <c r="X8" s="5"/>
      <c r="Y8" s="391">
        <v>0</v>
      </c>
      <c r="Z8" s="338">
        <f>B17+1/3*B18</f>
        <v>4330.12</v>
      </c>
      <c r="AA8" s="338">
        <f>C17+1/3*C18</f>
        <v>4460.0236000000004</v>
      </c>
      <c r="AB8" s="338">
        <f>D17+1/3*D18</f>
        <v>4593.8243080000002</v>
      </c>
      <c r="AC8" s="338">
        <f t="shared" ref="AC8:AS8" si="1">E17+1/3*E18</f>
        <v>4731.6390372399992</v>
      </c>
      <c r="AD8" s="338">
        <f t="shared" si="1"/>
        <v>4873.5882083571996</v>
      </c>
      <c r="AE8" s="338">
        <f t="shared" si="1"/>
        <v>5019.7958546079153</v>
      </c>
      <c r="AF8" s="338">
        <f t="shared" si="1"/>
        <v>5170.3897302461537</v>
      </c>
      <c r="AG8" s="338">
        <f t="shared" si="1"/>
        <v>5325.5014221535375</v>
      </c>
      <c r="AH8" s="338">
        <f t="shared" si="1"/>
        <v>5485.2664648181426</v>
      </c>
      <c r="AI8" s="338">
        <f t="shared" si="1"/>
        <v>5649.8244587626887</v>
      </c>
      <c r="AJ8" s="338">
        <f t="shared" si="1"/>
        <v>5819.3191925255687</v>
      </c>
      <c r="AK8" s="338">
        <f t="shared" si="1"/>
        <v>5993.8987683013347</v>
      </c>
      <c r="AL8" s="338">
        <f t="shared" si="1"/>
        <v>6173.7157313503749</v>
      </c>
      <c r="AM8" s="338">
        <f t="shared" si="1"/>
        <v>6358.9272032908866</v>
      </c>
      <c r="AN8" s="338">
        <f t="shared" si="1"/>
        <v>6549.6950193896137</v>
      </c>
      <c r="AO8" s="338">
        <f t="shared" si="1"/>
        <v>6746.1858699713002</v>
      </c>
      <c r="AP8" s="338">
        <f t="shared" si="1"/>
        <v>6948.5714460704403</v>
      </c>
      <c r="AQ8" s="338">
        <f t="shared" si="1"/>
        <v>7157.0285894525532</v>
      </c>
      <c r="AR8" s="338">
        <f t="shared" si="1"/>
        <v>7371.7394471361295</v>
      </c>
      <c r="AS8" s="338">
        <f t="shared" si="1"/>
        <v>7592.8916305502144</v>
      </c>
    </row>
    <row r="9" spans="1:45">
      <c r="A9" s="175" t="s">
        <v>51</v>
      </c>
      <c r="B9" s="180">
        <f>'Power Price Assumption'!C44*Assumptions!$E$9*12</f>
        <v>42593.431976310887</v>
      </c>
      <c r="C9" s="180">
        <f>'Power Price Assumption'!D44*Assumptions!$E$9*12</f>
        <v>44590.819300692703</v>
      </c>
      <c r="D9" s="180">
        <f>'Power Price Assumption'!E44*Assumptions!$E$9*12</f>
        <v>46681.872618597205</v>
      </c>
      <c r="E9" s="180">
        <f>'Power Price Assumption'!F44*Assumptions!$E$9*12</f>
        <v>48870.984327150094</v>
      </c>
      <c r="F9" s="180">
        <f>'Power Price Assumption'!G44*Assumptions!$E$9*12</f>
        <v>51162.7528016746</v>
      </c>
      <c r="G9" s="180">
        <f>'Power Price Assumption'!H44*Assumptions!$E$9*12</f>
        <v>52194.062403645206</v>
      </c>
      <c r="H9" s="180">
        <f>'Power Price Assumption'!I44*Assumptions!$E$9*12</f>
        <v>53246.160556600138</v>
      </c>
      <c r="I9" s="180">
        <f>'Power Price Assumption'!J44*Assumptions!$E$9*12</f>
        <v>54319.46630429817</v>
      </c>
      <c r="J9" s="180">
        <f>'Power Price Assumption'!K44*Assumptions!$E$9*12</f>
        <v>55414.40713734318</v>
      </c>
      <c r="K9" s="180">
        <f>'Power Price Assumption'!L44*Assumptions!$E$9*12</f>
        <v>56531.419163450977</v>
      </c>
      <c r="L9" s="180">
        <f>'Power Price Assumption'!M44*Assumptions!$E$9*12</f>
        <v>57643.022453635509</v>
      </c>
      <c r="M9" s="180">
        <f>'Power Price Assumption'!N44*Assumptions!$E$9*12</f>
        <v>58776.483710469969</v>
      </c>
      <c r="N9" s="180">
        <f>'Power Price Assumption'!O44*Assumptions!$E$9*12</f>
        <v>59932.232737203711</v>
      </c>
      <c r="O9" s="180">
        <f>'Power Price Assumption'!P44*Assumptions!$E$9*12</f>
        <v>61110.707788504937</v>
      </c>
      <c r="P9" s="180">
        <f>'Power Price Assumption'!Q44*Assumptions!$E$9*12</f>
        <v>62312.355736644997</v>
      </c>
      <c r="Q9" s="180">
        <f>'Power Price Assumption'!R44*Assumptions!$E$9*12</f>
        <v>63270.978088780772</v>
      </c>
      <c r="R9" s="180">
        <f>'Power Price Assumption'!S44*Assumptions!$E$9*12</f>
        <v>64244.348026738808</v>
      </c>
      <c r="S9" s="180">
        <f>'Power Price Assumption'!T44*Assumptions!$E$9*12</f>
        <v>65232.692429526382</v>
      </c>
      <c r="T9" s="180">
        <f>'Power Price Assumption'!U44*Assumptions!$E$9*12</f>
        <v>66236.241666490401</v>
      </c>
      <c r="U9" s="180">
        <f>'Power Price Assumption'!V44*Assumptions!$E$9*12</f>
        <v>67255.229651013404</v>
      </c>
      <c r="V9" s="339"/>
      <c r="W9" s="172">
        <f>SUM(B9:U9)</f>
        <v>1131619.6688787721</v>
      </c>
      <c r="X9" s="5"/>
      <c r="Y9" s="165"/>
      <c r="Z9" s="169">
        <f>Z7-Z8</f>
        <v>0</v>
      </c>
      <c r="AA9" s="169">
        <f t="shared" ref="AA9:AS9" si="2">AA7-AA8</f>
        <v>0</v>
      </c>
      <c r="AB9" s="169">
        <f t="shared" si="2"/>
        <v>0</v>
      </c>
      <c r="AC9" s="169">
        <f t="shared" si="2"/>
        <v>0</v>
      </c>
      <c r="AD9" s="169">
        <f t="shared" si="2"/>
        <v>0</v>
      </c>
      <c r="AE9" s="169">
        <f t="shared" si="2"/>
        <v>0</v>
      </c>
      <c r="AF9" s="169">
        <f t="shared" si="2"/>
        <v>0</v>
      </c>
      <c r="AG9" s="169">
        <f t="shared" si="2"/>
        <v>0</v>
      </c>
      <c r="AH9" s="169">
        <f t="shared" si="2"/>
        <v>0</v>
      </c>
      <c r="AI9" s="169">
        <f t="shared" si="2"/>
        <v>0</v>
      </c>
      <c r="AJ9" s="169">
        <f t="shared" si="2"/>
        <v>0</v>
      </c>
      <c r="AK9" s="169">
        <f t="shared" si="2"/>
        <v>0</v>
      </c>
      <c r="AL9" s="169">
        <f t="shared" si="2"/>
        <v>0</v>
      </c>
      <c r="AM9" s="169">
        <f t="shared" si="2"/>
        <v>0</v>
      </c>
      <c r="AN9" s="169">
        <f t="shared" si="2"/>
        <v>0</v>
      </c>
      <c r="AO9" s="169">
        <f t="shared" si="2"/>
        <v>0</v>
      </c>
      <c r="AP9" s="169">
        <f t="shared" si="2"/>
        <v>0</v>
      </c>
      <c r="AQ9" s="169">
        <f t="shared" si="2"/>
        <v>0</v>
      </c>
      <c r="AR9" s="169">
        <f t="shared" si="2"/>
        <v>0</v>
      </c>
      <c r="AS9" s="169">
        <f t="shared" si="2"/>
        <v>0</v>
      </c>
    </row>
    <row r="10" spans="1:45">
      <c r="A10" s="175" t="s">
        <v>52</v>
      </c>
      <c r="B10" s="161">
        <f>1/3*Assumptions!$E$18*Assumptions!$E$11*Assumptions!$E$8/1000*(1+Assumptions!$E$25)^(B5-2000)+Assumptions!$E$19*Assumptions!$E$17*(1+Assumptions!$E$25)^(B5-2000)/1000</f>
        <v>4330.12</v>
      </c>
      <c r="C10" s="161">
        <f>1/3*Assumptions!$E$18*Assumptions!$E$11*Assumptions!$E$8/1000*(1+Assumptions!$E$25)^(C5-2000)+Assumptions!$E$19*Assumptions!$E$17*(1+Assumptions!$E$25)^(C5-2000)/1000</f>
        <v>4460.0235999999995</v>
      </c>
      <c r="D10" s="161">
        <f>1/3*Assumptions!$E$18*Assumptions!$E$11*Assumptions!$E$8/1000*(1+Assumptions!$E$25)^(D5-2000)+Assumptions!$E$19*Assumptions!$E$17*(1+Assumptions!$E$25)^(D5-2000)/1000</f>
        <v>4593.8243080000002</v>
      </c>
      <c r="E10" s="161">
        <f>1/3*Assumptions!$E$18*Assumptions!$E$11*Assumptions!$E$8/1000*(1+Assumptions!$E$25)^(E5-2000)+Assumptions!$E$19*Assumptions!$E$17*(1+Assumptions!$E$25)^(E5-2000)/1000</f>
        <v>4731.6390372399992</v>
      </c>
      <c r="F10" s="161">
        <f>1/3*Assumptions!$E$18*Assumptions!$E$11*Assumptions!$E$8/1000*(1+Assumptions!$E$25)^(F5-2000)+Assumptions!$E$19*Assumptions!$E$17*(1+Assumptions!$E$25)^(F5-2000)/1000</f>
        <v>4873.5882083571996</v>
      </c>
      <c r="G10" s="161">
        <f>1/3*Assumptions!$E$18*Assumptions!$E$11*Assumptions!$E$8/1000*(1+Assumptions!$E$25)^(G5-2000)+Assumptions!$E$19*Assumptions!$E$17*(1+Assumptions!$E$25)^(G5-2000)/1000</f>
        <v>5019.7958546079153</v>
      </c>
      <c r="H10" s="161">
        <f>1/3*Assumptions!$E$18*Assumptions!$E$11*Assumptions!$E$8/1000*(1+Assumptions!$E$25)^(H5-2000)+Assumptions!$E$19*Assumptions!$E$17*(1+Assumptions!$E$25)^(H5-2000)/1000</f>
        <v>5170.3897302461537</v>
      </c>
      <c r="I10" s="161">
        <f>1/3*Assumptions!$E$18*Assumptions!$E$11*Assumptions!$E$8/1000*(1+Assumptions!$E$25)^(I5-2000)+Assumptions!$E$19*Assumptions!$E$17*(1+Assumptions!$E$25)^(I5-2000)/1000</f>
        <v>5325.5014221535375</v>
      </c>
      <c r="J10" s="161">
        <f>1/3*Assumptions!$E$18*Assumptions!$E$11*Assumptions!$E$8/1000*(1+Assumptions!$E$25)^(J5-2000)+Assumptions!$E$19*Assumptions!$E$17*(1+Assumptions!$E$25)^(J5-2000)/1000</f>
        <v>5485.2664648181426</v>
      </c>
      <c r="K10" s="161">
        <f>1/3*Assumptions!$E$18*Assumptions!$E$11*Assumptions!$E$8/1000*(1+Assumptions!$E$25)^(K5-2000)+Assumptions!$E$19*Assumptions!$E$17*(1+Assumptions!$E$25)^(K5-2000)/1000</f>
        <v>5649.8244587626887</v>
      </c>
      <c r="L10" s="161">
        <f>1/3*Assumptions!$E$18*Assumptions!$E$11*Assumptions!$E$8/1000*(1+Assumptions!$E$25)^(L5-2000)+Assumptions!$E$19*Assumptions!$E$17*(1+Assumptions!$E$25)^(L5-2000)/1000</f>
        <v>5819.3191925255687</v>
      </c>
      <c r="M10" s="161">
        <f>1/3*Assumptions!$E$18*Assumptions!$E$11*Assumptions!$E$8/1000*(1+Assumptions!$E$25)^(M5-2000)+Assumptions!$E$19*Assumptions!$E$17*(1+Assumptions!$E$25)^(M5-2000)/1000</f>
        <v>5993.8987683013347</v>
      </c>
      <c r="N10" s="161">
        <f>1/3*Assumptions!$E$18*Assumptions!$E$11*Assumptions!$E$8/1000*(1+Assumptions!$E$25)^(N5-2000)+Assumptions!$E$19*Assumptions!$E$17*(1+Assumptions!$E$25)^(N5-2000)/1000</f>
        <v>6173.7157313503749</v>
      </c>
      <c r="O10" s="161">
        <f>1/3*Assumptions!$E$18*Assumptions!$E$11*Assumptions!$E$8/1000*(1+Assumptions!$E$25)^(O5-2000)+Assumptions!$E$19*Assumptions!$E$17*(1+Assumptions!$E$25)^(O5-2000)/1000</f>
        <v>6358.9272032908866</v>
      </c>
      <c r="P10" s="161">
        <f>1/3*Assumptions!$E$18*Assumptions!$E$11*Assumptions!$E$8/1000*(1+Assumptions!$E$25)^(P5-2000)+Assumptions!$E$19*Assumptions!$E$17*(1+Assumptions!$E$25)^(P5-2000)/1000</f>
        <v>6549.6950193896137</v>
      </c>
      <c r="Q10" s="161">
        <f>1/3*Assumptions!$E$18*Assumptions!$E$11*Assumptions!$E$8/1000*(1+Assumptions!$E$25)^(Q5-2000)+Assumptions!$E$19*Assumptions!$E$17*(1+Assumptions!$E$25)^(Q5-2000)/1000</f>
        <v>6746.1858699713002</v>
      </c>
      <c r="R10" s="161">
        <f>1/3*Assumptions!$E$18*Assumptions!$E$11*Assumptions!$E$8/1000*(1+Assumptions!$E$25)^(R5-2000)+Assumptions!$E$19*Assumptions!$E$17*(1+Assumptions!$E$25)^(R5-2000)/1000</f>
        <v>6948.5714460704403</v>
      </c>
      <c r="S10" s="161">
        <f>1/3*Assumptions!$E$18*Assumptions!$E$11*Assumptions!$E$8/1000*(1+Assumptions!$E$25)^(S5-2000)+Assumptions!$E$19*Assumptions!$E$17*(1+Assumptions!$E$25)^(S5-2000)/1000</f>
        <v>7157.0285894525532</v>
      </c>
      <c r="T10" s="161">
        <f>1/3*Assumptions!$E$18*Assumptions!$E$11*Assumptions!$E$8/1000*(1+Assumptions!$E$25)^(T5-2000)+Assumptions!$E$19*Assumptions!$E$17*(1+Assumptions!$E$25)^(T5-2000)/1000</f>
        <v>7371.7394471361295</v>
      </c>
      <c r="U10" s="161">
        <f>1/3*Assumptions!$E$18*Assumptions!$E$11*Assumptions!$E$8/1000*(1+Assumptions!$E$25)^(U5-2000)+Assumptions!$E$19*Assumptions!$E$17*(1+Assumptions!$E$25)^(U5-2000)/1000</f>
        <v>7592.8916305502144</v>
      </c>
      <c r="V10" s="339"/>
      <c r="W10" s="172">
        <f>SUM(B10:U10)</f>
        <v>116351.94598222408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>
      <c r="A11" s="175"/>
      <c r="B11" s="339"/>
      <c r="C11" s="339"/>
      <c r="D11" s="339"/>
      <c r="E11" s="339"/>
      <c r="F11" s="339"/>
      <c r="G11" s="339"/>
      <c r="H11" s="339"/>
      <c r="I11" s="339"/>
      <c r="J11" s="339"/>
      <c r="K11" s="339"/>
      <c r="L11" s="339"/>
      <c r="M11" s="339"/>
      <c r="N11" s="339"/>
      <c r="O11" s="339"/>
      <c r="P11" s="339"/>
      <c r="Q11" s="339"/>
      <c r="R11" s="339"/>
      <c r="S11" s="339"/>
      <c r="T11" s="339"/>
      <c r="U11" s="339"/>
      <c r="V11" s="339"/>
      <c r="W11" s="172">
        <f>SUM(B11:U11)</f>
        <v>0</v>
      </c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</row>
    <row r="12" spans="1:45">
      <c r="A12" s="175" t="s">
        <v>152</v>
      </c>
      <c r="B12" s="272">
        <f>(SUM(B8:B10)-SUM(B16:B21))*'Summary Output'!$B$24/4</f>
        <v>492.63157689632038</v>
      </c>
      <c r="C12" s="272">
        <f>(SUM(C8:C10)-SUM(C16:C21))*'Summary Output'!$B$24/4</f>
        <v>517.81368002516263</v>
      </c>
      <c r="D12" s="272">
        <f>(SUM(D8:D10)-SUM(D16:D21))*'Summary Output'!$B$24/4</f>
        <v>542.9107852816868</v>
      </c>
      <c r="E12" s="272">
        <f>(SUM(E8:E10)-SUM(E16:E21))*'Summary Output'!$B$24/4</f>
        <v>569.20427608479724</v>
      </c>
      <c r="F12" s="272">
        <f>(SUM(F8:F10)-SUM(F16:F21))*'Summary Output'!$B$24/4</f>
        <v>596.75082679593891</v>
      </c>
      <c r="G12" s="272">
        <f>(SUM(G8:G10)-SUM(G16:G21))*'Summary Output'!$B$24/4</f>
        <v>608.50941244354442</v>
      </c>
      <c r="H12" s="272">
        <f>(SUM(H8:H10)-SUM(H16:H21))*'Summary Output'!$B$24/4</f>
        <v>620.65352144714325</v>
      </c>
      <c r="I12" s="272">
        <f>(SUM(I8:I10)-SUM(I16:I21))*'Summary Output'!$B$24/4</f>
        <v>633.0325118477806</v>
      </c>
      <c r="J12" s="272">
        <f>(SUM(J8:J10)-SUM(J16:J21))*'Summary Output'!$B$24/4</f>
        <v>645.65082087188762</v>
      </c>
      <c r="K12" s="272">
        <f>(SUM(K8:K10)-SUM(K16:K21))*'Summary Output'!$B$24/4</f>
        <v>658.51296626761075</v>
      </c>
      <c r="L12" s="272">
        <f>(SUM(L8:L10)-SUM(L16:L21))*'Summary Output'!$B$24/4</f>
        <v>671.27448731637423</v>
      </c>
      <c r="M12" s="272">
        <f>(SUM(M8:M10)-SUM(M16:M21))*'Summary Output'!$B$24/4</f>
        <v>684.27522734590571</v>
      </c>
      <c r="N12" s="272">
        <f>(SUM(N8:N10)-SUM(N16:N21))*'Summary Output'!$B$24/4</f>
        <v>697.51953872875117</v>
      </c>
      <c r="O12" s="272">
        <f>(SUM(O8:O10)-SUM(O16:O21))*'Summary Output'!$B$24/4</f>
        <v>711.01184887515046</v>
      </c>
      <c r="P12" s="272">
        <f>(SUM(P8:P10)-SUM(P16:P21))*'Summary Output'!$B$24/4</f>
        <v>724.75666139218902</v>
      </c>
      <c r="Q12" s="272">
        <f>(SUM(Q8:Q10)-SUM(Q16:Q21))*'Summary Output'!$B$24/4</f>
        <v>735.42538035413281</v>
      </c>
      <c r="R12" s="272">
        <f>(SUM(R8:R10)-SUM(R16:R21))*'Summary Output'!$B$24/4</f>
        <v>746.23902232566206</v>
      </c>
      <c r="S12" s="272">
        <f>(SUM(S8:S10)-SUM(S16:S21))*'Summary Output'!$B$24/4</f>
        <v>757.19924063997234</v>
      </c>
      <c r="T12" s="272">
        <f>(SUM(T8:T10)-SUM(T16:T21))*'Summary Output'!$B$24/4</f>
        <v>768.30769677987212</v>
      </c>
      <c r="U12" s="272">
        <f>(SUM(U8:U10)-SUM(U16:U21))*'Summary Output'!$B$24/4</f>
        <v>779.56605998459474</v>
      </c>
      <c r="V12" s="339"/>
      <c r="W12" s="172">
        <f>SUM(B12:U12)</f>
        <v>13161.245541704475</v>
      </c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</row>
    <row r="13" spans="1:45">
      <c r="A13" s="175" t="s">
        <v>53</v>
      </c>
      <c r="B13" s="204">
        <f t="shared" ref="B13:U13" si="3">SUM(B8:B12)</f>
        <v>47416.183553207207</v>
      </c>
      <c r="C13" s="204">
        <f t="shared" si="3"/>
        <v>49568.656580717863</v>
      </c>
      <c r="D13" s="204">
        <f t="shared" si="3"/>
        <v>51818.607711878896</v>
      </c>
      <c r="E13" s="204">
        <f t="shared" si="3"/>
        <v>54171.82764047489</v>
      </c>
      <c r="F13" s="204">
        <f t="shared" si="3"/>
        <v>56633.091836827742</v>
      </c>
      <c r="G13" s="204">
        <f t="shared" si="3"/>
        <v>57822.367670696665</v>
      </c>
      <c r="H13" s="204">
        <f t="shared" si="3"/>
        <v>59037.203808293438</v>
      </c>
      <c r="I13" s="204">
        <f t="shared" si="3"/>
        <v>60278.000238299486</v>
      </c>
      <c r="J13" s="204">
        <f t="shared" si="3"/>
        <v>61545.324423033213</v>
      </c>
      <c r="K13" s="204">
        <f t="shared" si="3"/>
        <v>62839.756588481279</v>
      </c>
      <c r="L13" s="204">
        <f t="shared" si="3"/>
        <v>64133.616133477452</v>
      </c>
      <c r="M13" s="204">
        <f t="shared" si="3"/>
        <v>65454.657706117207</v>
      </c>
      <c r="N13" s="204">
        <f t="shared" si="3"/>
        <v>66803.468007282834</v>
      </c>
      <c r="O13" s="204">
        <f t="shared" si="3"/>
        <v>68180.646840670976</v>
      </c>
      <c r="P13" s="204">
        <f t="shared" si="3"/>
        <v>69586.807417426811</v>
      </c>
      <c r="Q13" s="204">
        <f t="shared" si="3"/>
        <v>70752.589339106213</v>
      </c>
      <c r="R13" s="204">
        <f t="shared" si="3"/>
        <v>71939.158495134907</v>
      </c>
      <c r="S13" s="204">
        <f t="shared" si="3"/>
        <v>73146.920259618899</v>
      </c>
      <c r="T13" s="204">
        <f t="shared" si="3"/>
        <v>74376.288810406404</v>
      </c>
      <c r="U13" s="204">
        <f t="shared" si="3"/>
        <v>75627.687341548226</v>
      </c>
      <c r="V13" s="339"/>
      <c r="W13" s="172">
        <f>SUM(B13:U13)</f>
        <v>1261132.8604027007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>
      <c r="A14" s="340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339"/>
      <c r="W14" s="172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s="339" customFormat="1">
      <c r="A15" s="171" t="s">
        <v>54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96"/>
      <c r="W15" s="172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s="339" customFormat="1">
      <c r="A16" s="175" t="s">
        <v>41</v>
      </c>
      <c r="B16" s="161">
        <f>Assumptions!E28*(1+Assumptions!$E$25)</f>
        <v>1491.9967885714286</v>
      </c>
      <c r="C16" s="172">
        <f>B16*(1+Assumptions!$E$25)</f>
        <v>1536.7566922285714</v>
      </c>
      <c r="D16" s="172">
        <f>C16*(1+Assumptions!$E$25)</f>
        <v>1582.8593929954286</v>
      </c>
      <c r="E16" s="172">
        <f>D16*(1+Assumptions!$E$25)</f>
        <v>1630.3451747852914</v>
      </c>
      <c r="F16" s="172">
        <f>E16*(1+Assumptions!$E$25)</f>
        <v>1679.2555300288502</v>
      </c>
      <c r="G16" s="172">
        <f>F16*(1+Assumptions!$E$25)</f>
        <v>1729.6331959297158</v>
      </c>
      <c r="H16" s="172">
        <f>G16*(1+Assumptions!$E$25)</f>
        <v>1781.5221918076074</v>
      </c>
      <c r="I16" s="172">
        <f>H16*(1+Assumptions!$E$25)</f>
        <v>1834.9678575618357</v>
      </c>
      <c r="J16" s="172">
        <f>I16*(1+Assumptions!$E$25)</f>
        <v>1890.0168932886909</v>
      </c>
      <c r="K16" s="172">
        <f>J16*(1+Assumptions!$E$25)</f>
        <v>1946.7174000873517</v>
      </c>
      <c r="L16" s="172">
        <f>K16*(1+Assumptions!$E$25)</f>
        <v>2005.1189220899723</v>
      </c>
      <c r="M16" s="172">
        <f>L16*(1+Assumptions!$E$25)</f>
        <v>2065.2724897526714</v>
      </c>
      <c r="N16" s="172">
        <f>M16*(1+Assumptions!$E$25)</f>
        <v>2127.2306644452515</v>
      </c>
      <c r="O16" s="172">
        <f>N16*(1+Assumptions!$E$25)</f>
        <v>2191.0475843786089</v>
      </c>
      <c r="P16" s="172">
        <f>O16*(1+Assumptions!$E$25)</f>
        <v>2256.7790119099673</v>
      </c>
      <c r="Q16" s="172">
        <f>P16*(1+Assumptions!$E$25)</f>
        <v>2324.4823822672665</v>
      </c>
      <c r="R16" s="172">
        <f>Q16*(1+Assumptions!$E$25)</f>
        <v>2394.2168537352845</v>
      </c>
      <c r="S16" s="172">
        <f>R16*(1+Assumptions!$E$25)</f>
        <v>2466.0433593473431</v>
      </c>
      <c r="T16" s="172">
        <f>S16*(1+Assumptions!$E$25)</f>
        <v>2540.0246601277636</v>
      </c>
      <c r="U16" s="172">
        <f>T16*(1+Assumptions!$E$25)</f>
        <v>2616.2253999315967</v>
      </c>
      <c r="V16" s="96"/>
      <c r="W16" s="172">
        <f t="shared" ref="W16:W22" si="4">SUM(B16:U16)</f>
        <v>40090.512445270491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 s="339" customFormat="1">
      <c r="A17" s="175" t="s">
        <v>42</v>
      </c>
      <c r="B17" s="161">
        <f>Assumptions!$E$29*(1+Assumptions!$E$25)</f>
        <v>4124.12</v>
      </c>
      <c r="C17" s="204">
        <f>B17*(1+Assumptions!$E$25)</f>
        <v>4247.8436000000002</v>
      </c>
      <c r="D17" s="204">
        <f>C17*(1+Assumptions!$E$25)</f>
        <v>4375.2789080000002</v>
      </c>
      <c r="E17" s="161">
        <f>Assumptions!$E$19*Assumptions!$E$23*(1+Assumptions!$E$25)^(E5-2000)/1000</f>
        <v>4506.537275239999</v>
      </c>
      <c r="F17" s="161">
        <f>Assumptions!$E$19*Assumptions!$E$23*(1+Assumptions!$E$25)^(F5-2000)/1000</f>
        <v>4641.7333934971994</v>
      </c>
      <c r="G17" s="161">
        <f>Assumptions!$E$19*Assumptions!$E$23*(1+Assumptions!$E$25)^(G5-2000)/1000</f>
        <v>4780.9853953021156</v>
      </c>
      <c r="H17" s="161">
        <f>Assumptions!$E$19*Assumptions!$E$23*(1+Assumptions!$E$25)^(H5-2000)/1000</f>
        <v>4924.4149571611797</v>
      </c>
      <c r="I17" s="161">
        <f>Assumptions!$E$19*Assumptions!$E$23*(1+Assumptions!$E$25)^(I5-2000)/1000</f>
        <v>5072.1474058760141</v>
      </c>
      <c r="J17" s="161">
        <f>Assumptions!$E$19*Assumptions!$E$23*(1+Assumptions!$E$25)^(J5-2000)/1000</f>
        <v>5224.311828052294</v>
      </c>
      <c r="K17" s="161">
        <f>Assumptions!$E$19*Assumptions!$E$23*(1+Assumptions!$E$25)^(K5-2000)/1000</f>
        <v>5381.0411828938641</v>
      </c>
      <c r="L17" s="161">
        <f>Assumptions!$E$19*Assumptions!$E$23*(1+Assumptions!$E$25)^(L5-2000)/1000</f>
        <v>5542.4724183806793</v>
      </c>
      <c r="M17" s="161">
        <f>Assumptions!$E$19*Assumptions!$E$23*(1+Assumptions!$E$25)^(M5-2000)/1000</f>
        <v>5708.746590932099</v>
      </c>
      <c r="N17" s="161">
        <f>Assumptions!$E$19*Assumptions!$E$23*(1+Assumptions!$E$25)^(N5-2000)/1000</f>
        <v>5880.0089886600617</v>
      </c>
      <c r="O17" s="161">
        <f>Assumptions!$E$19*Assumptions!$E$23*(1+Assumptions!$E$25)^(O5-2000)/1000</f>
        <v>6056.4092583198644</v>
      </c>
      <c r="P17" s="161">
        <f>Assumptions!$E$19*Assumptions!$E$23*(1+Assumptions!$E$25)^(P5-2000)/1000</f>
        <v>6238.101536069461</v>
      </c>
      <c r="Q17" s="161">
        <f>Assumptions!$E$19*Assumptions!$E$23*(1+Assumptions!$E$25)^(Q5-2000)/1000</f>
        <v>6425.244582151543</v>
      </c>
      <c r="R17" s="161">
        <f>Assumptions!$E$19*Assumptions!$E$23*(1+Assumptions!$E$25)^(R5-2000)/1000</f>
        <v>6618.0019196160902</v>
      </c>
      <c r="S17" s="161">
        <f>Assumptions!$E$19*Assumptions!$E$23*(1+Assumptions!$E$25)^(S5-2000)/1000</f>
        <v>6816.5419772045725</v>
      </c>
      <c r="T17" s="161">
        <f>Assumptions!$E$19*Assumptions!$E$23*(1+Assumptions!$E$25)^(T5-2000)/1000</f>
        <v>7021.0382365207097</v>
      </c>
      <c r="U17" s="161">
        <f>Assumptions!$E$19*Assumptions!$E$23*(1+Assumptions!$E$25)^(U5-2000)/1000</f>
        <v>7231.6693836163313</v>
      </c>
      <c r="V17" s="96"/>
      <c r="W17" s="172">
        <f t="shared" si="4"/>
        <v>110816.64883749407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s="339" customFormat="1">
      <c r="A18" s="175" t="s">
        <v>217</v>
      </c>
      <c r="B18" s="161">
        <f>Assumptions!$E$24*Assumptions!$E$11*Assumptions!$E$8/1000*(1+Assumptions!$E$25)</f>
        <v>618</v>
      </c>
      <c r="C18" s="172">
        <f>B18*(1+Assumptions!$E$25)</f>
        <v>636.54</v>
      </c>
      <c r="D18" s="172">
        <f>C18*(1+Assumptions!$E$25)</f>
        <v>655.63620000000003</v>
      </c>
      <c r="E18" s="172">
        <f>D18*(1+Assumptions!$E$25)</f>
        <v>675.30528600000002</v>
      </c>
      <c r="F18" s="172">
        <f>E18*(1+Assumptions!$E$25)</f>
        <v>695.56444457999999</v>
      </c>
      <c r="G18" s="172">
        <f>F18*(1+Assumptions!$E$25)</f>
        <v>716.43137791740003</v>
      </c>
      <c r="H18" s="172">
        <f>G18*(1+Assumptions!$E$25)</f>
        <v>737.92431925492201</v>
      </c>
      <c r="I18" s="172">
        <f>H18*(1+Assumptions!$E$25)</f>
        <v>760.06204883256964</v>
      </c>
      <c r="J18" s="172">
        <f>I18*(1+Assumptions!$E$25)</f>
        <v>782.86391029754679</v>
      </c>
      <c r="K18" s="172">
        <f>J18*(1+Assumptions!$E$25)</f>
        <v>806.34982760647324</v>
      </c>
      <c r="L18" s="172">
        <f>K18*(1+Assumptions!$E$25)</f>
        <v>830.54032243466747</v>
      </c>
      <c r="M18" s="172">
        <f>L18*(1+Assumptions!$E$25)</f>
        <v>855.45653210770752</v>
      </c>
      <c r="N18" s="172">
        <f>M18*(1+Assumptions!$E$25)</f>
        <v>881.12022807093877</v>
      </c>
      <c r="O18" s="172">
        <f>N18*(1+Assumptions!$E$25)</f>
        <v>907.55383491306691</v>
      </c>
      <c r="P18" s="172">
        <f>O18*(1+Assumptions!$E$25)</f>
        <v>934.7804499604589</v>
      </c>
      <c r="Q18" s="172">
        <f>P18*(1+Assumptions!$E$25)</f>
        <v>962.82386345927273</v>
      </c>
      <c r="R18" s="172">
        <f>Q18*(1+Assumptions!$E$25)</f>
        <v>991.70857936305094</v>
      </c>
      <c r="S18" s="172">
        <f>R18*(1+Assumptions!$E$25)</f>
        <v>1021.4598367439424</v>
      </c>
      <c r="T18" s="172">
        <f>S18*(1+Assumptions!$E$25)</f>
        <v>1052.1036318462607</v>
      </c>
      <c r="U18" s="172">
        <f>T18*(1+Assumptions!$E$25)</f>
        <v>1083.6667408016485</v>
      </c>
      <c r="V18" s="96"/>
      <c r="W18" s="172">
        <f t="shared" si="4"/>
        <v>16605.891434189925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s="339" customFormat="1">
      <c r="A19" s="175" t="s">
        <v>99</v>
      </c>
      <c r="B19" s="161">
        <f>Assumptions!E31*(1+Assumptions!$E$25)</f>
        <v>412.66655714285713</v>
      </c>
      <c r="C19" s="172">
        <f>B19*(1+Assumptions!$E$25)</f>
        <v>425.04655385714284</v>
      </c>
      <c r="D19" s="172">
        <f>C19*(1+Assumptions!$E$25)</f>
        <v>437.79795047285711</v>
      </c>
      <c r="E19" s="172">
        <f>D19*(1+Assumptions!$E$25)</f>
        <v>450.93188898704284</v>
      </c>
      <c r="F19" s="172">
        <f>E19*(1+Assumptions!$E$25)</f>
        <v>464.45984565665412</v>
      </c>
      <c r="G19" s="172">
        <f>F19*(1+Assumptions!$E$25)</f>
        <v>478.39364102635375</v>
      </c>
      <c r="H19" s="172">
        <f>G19*(1+Assumptions!$E$25)</f>
        <v>492.7454502571444</v>
      </c>
      <c r="I19" s="172">
        <f>H19*(1+Assumptions!$E$25)</f>
        <v>507.52781376485876</v>
      </c>
      <c r="J19" s="172">
        <f>I19*(1+Assumptions!$E$25)</f>
        <v>522.75364817780451</v>
      </c>
      <c r="K19" s="172">
        <f>J19*(1+Assumptions!$E$25)</f>
        <v>538.43625762313866</v>
      </c>
      <c r="L19" s="172">
        <f>K19*(1+Assumptions!$E$25)</f>
        <v>554.58934535183278</v>
      </c>
      <c r="M19" s="172">
        <f>L19*(1+Assumptions!$E$25)</f>
        <v>571.22702571238779</v>
      </c>
      <c r="N19" s="172">
        <f>M19*(1+Assumptions!$E$25)</f>
        <v>588.36383648375943</v>
      </c>
      <c r="O19" s="172">
        <f>N19*(1+Assumptions!$E$25)</f>
        <v>606.01475157827224</v>
      </c>
      <c r="P19" s="172">
        <f>O19*(1+Assumptions!$E$25)</f>
        <v>624.19519412562045</v>
      </c>
      <c r="Q19" s="172">
        <f>P19*(1+Assumptions!$E$25)</f>
        <v>642.92104994938904</v>
      </c>
      <c r="R19" s="172">
        <f>Q19*(1+Assumptions!$E$25)</f>
        <v>662.20868144787073</v>
      </c>
      <c r="S19" s="172">
        <f>R19*(1+Assumptions!$E$25)</f>
        <v>682.07494189130682</v>
      </c>
      <c r="T19" s="172">
        <f>S19*(1+Assumptions!$E$25)</f>
        <v>702.53719014804608</v>
      </c>
      <c r="U19" s="172">
        <f>T19*(1+Assumptions!$E$25)</f>
        <v>723.61330585248743</v>
      </c>
      <c r="V19" s="96"/>
      <c r="W19" s="172">
        <f t="shared" si="4"/>
        <v>11088.504929506827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s="339" customFormat="1">
      <c r="A20" s="175" t="s">
        <v>170</v>
      </c>
      <c r="B20" s="341">
        <v>572</v>
      </c>
      <c r="C20" s="341">
        <v>583.4</v>
      </c>
      <c r="D20" s="341">
        <v>595.1</v>
      </c>
      <c r="E20" s="341">
        <v>607</v>
      </c>
      <c r="F20" s="341">
        <v>619.1</v>
      </c>
      <c r="G20" s="341">
        <v>631.5</v>
      </c>
      <c r="H20" s="341">
        <v>631.5</v>
      </c>
      <c r="I20" s="341">
        <v>631.5</v>
      </c>
      <c r="J20" s="341">
        <v>631.5</v>
      </c>
      <c r="K20" s="341">
        <v>631.5</v>
      </c>
      <c r="L20" s="341">
        <v>631.5</v>
      </c>
      <c r="M20" s="341">
        <v>631.5</v>
      </c>
      <c r="N20" s="341">
        <v>631.5</v>
      </c>
      <c r="O20" s="341">
        <v>631.5</v>
      </c>
      <c r="P20" s="341">
        <v>631.5</v>
      </c>
      <c r="Q20" s="341">
        <v>631.5</v>
      </c>
      <c r="R20" s="341">
        <v>631.5</v>
      </c>
      <c r="S20" s="341">
        <v>631.5</v>
      </c>
      <c r="T20" s="341">
        <v>631.5</v>
      </c>
      <c r="U20" s="341">
        <v>631.5</v>
      </c>
      <c r="V20" s="96"/>
      <c r="W20" s="172">
        <f t="shared" si="4"/>
        <v>12449.1</v>
      </c>
    </row>
    <row r="21" spans="1:45">
      <c r="A21" s="392" t="s">
        <v>168</v>
      </c>
      <c r="B21" s="179">
        <f>B72</f>
        <v>294.24247889097256</v>
      </c>
      <c r="C21" s="179">
        <f t="shared" ref="C21:U21" si="5">C72</f>
        <v>196.1616525939817</v>
      </c>
      <c r="D21" s="179">
        <f t="shared" si="5"/>
        <v>196.1616525939817</v>
      </c>
      <c r="E21" s="179">
        <f t="shared" si="5"/>
        <v>196.1616525939817</v>
      </c>
      <c r="F21" s="179">
        <f t="shared" si="5"/>
        <v>196.1616525939817</v>
      </c>
      <c r="G21" s="179">
        <f t="shared" si="5"/>
        <v>196.1616525939817</v>
      </c>
      <c r="H21" s="179">
        <f t="shared" si="5"/>
        <v>196.1616525939817</v>
      </c>
      <c r="I21" s="179">
        <f t="shared" si="5"/>
        <v>196.1616525939817</v>
      </c>
      <c r="J21" s="179">
        <f t="shared" si="5"/>
        <v>196.1616525939817</v>
      </c>
      <c r="K21" s="179">
        <f t="shared" si="5"/>
        <v>196.1616525939817</v>
      </c>
      <c r="L21" s="179">
        <f t="shared" si="5"/>
        <v>196.1616525939817</v>
      </c>
      <c r="M21" s="179">
        <f t="shared" si="5"/>
        <v>196.1616525939817</v>
      </c>
      <c r="N21" s="179">
        <f t="shared" si="5"/>
        <v>196.1616525939817</v>
      </c>
      <c r="O21" s="179">
        <f t="shared" si="5"/>
        <v>196.1616525939817</v>
      </c>
      <c r="P21" s="179">
        <f t="shared" si="5"/>
        <v>196.1616525939817</v>
      </c>
      <c r="Q21" s="179">
        <f t="shared" si="5"/>
        <v>196.1616525939817</v>
      </c>
      <c r="R21" s="179">
        <f t="shared" si="5"/>
        <v>196.1616525939817</v>
      </c>
      <c r="S21" s="179">
        <f t="shared" si="5"/>
        <v>196.1616525939817</v>
      </c>
      <c r="T21" s="179">
        <f t="shared" si="5"/>
        <v>196.1616525939817</v>
      </c>
      <c r="U21" s="179">
        <f t="shared" si="5"/>
        <v>196.1616525939817</v>
      </c>
      <c r="V21" s="172"/>
      <c r="W21" s="172">
        <f t="shared" si="4"/>
        <v>4021.3138781766247</v>
      </c>
    </row>
    <row r="22" spans="1:45">
      <c r="A22" s="175" t="s">
        <v>55</v>
      </c>
      <c r="B22" s="161">
        <f t="shared" ref="B22:U22" si="6">SUM(B16:B21)</f>
        <v>7513.025824605259</v>
      </c>
      <c r="C22" s="161">
        <f t="shared" si="6"/>
        <v>7625.7484986796953</v>
      </c>
      <c r="D22" s="161">
        <f t="shared" si="6"/>
        <v>7842.8341040622681</v>
      </c>
      <c r="E22" s="161">
        <f t="shared" si="6"/>
        <v>8066.2812776063147</v>
      </c>
      <c r="F22" s="161">
        <f t="shared" si="6"/>
        <v>8296.2748663566872</v>
      </c>
      <c r="G22" s="161">
        <f t="shared" si="6"/>
        <v>8533.1052627695681</v>
      </c>
      <c r="H22" s="161">
        <f t="shared" si="6"/>
        <v>8764.2685710748374</v>
      </c>
      <c r="I22" s="161">
        <f t="shared" si="6"/>
        <v>9002.3667786292608</v>
      </c>
      <c r="J22" s="161">
        <f t="shared" si="6"/>
        <v>9247.6079324103193</v>
      </c>
      <c r="K22" s="161">
        <f t="shared" si="6"/>
        <v>9500.2063208048094</v>
      </c>
      <c r="L22" s="161">
        <f t="shared" si="6"/>
        <v>9760.3826608511354</v>
      </c>
      <c r="M22" s="161">
        <f t="shared" si="6"/>
        <v>10028.364291098847</v>
      </c>
      <c r="N22" s="161">
        <f t="shared" si="6"/>
        <v>10304.385370253993</v>
      </c>
      <c r="O22" s="161">
        <f t="shared" si="6"/>
        <v>10588.687081783795</v>
      </c>
      <c r="P22" s="161">
        <f t="shared" si="6"/>
        <v>10881.517844659491</v>
      </c>
      <c r="Q22" s="161">
        <f t="shared" si="6"/>
        <v>11183.133530421454</v>
      </c>
      <c r="R22" s="161">
        <f t="shared" si="6"/>
        <v>11493.797686756279</v>
      </c>
      <c r="S22" s="161">
        <f t="shared" si="6"/>
        <v>11813.781767781149</v>
      </c>
      <c r="T22" s="161">
        <f t="shared" si="6"/>
        <v>12143.365371236763</v>
      </c>
      <c r="U22" s="161">
        <f t="shared" si="6"/>
        <v>12482.836482796047</v>
      </c>
      <c r="W22" s="172">
        <f t="shared" si="4"/>
        <v>195071.97152463795</v>
      </c>
    </row>
    <row r="23" spans="1:45">
      <c r="A23" s="183"/>
      <c r="B23" s="342"/>
      <c r="C23" s="343"/>
      <c r="D23" s="342"/>
      <c r="E23" s="342"/>
      <c r="F23" s="342"/>
      <c r="G23" s="342"/>
      <c r="H23" s="342"/>
      <c r="I23" s="342"/>
      <c r="J23" s="342"/>
      <c r="K23" s="342"/>
      <c r="L23" s="342"/>
      <c r="M23" s="342"/>
      <c r="N23" s="342"/>
      <c r="O23" s="342"/>
      <c r="P23" s="342"/>
      <c r="Q23" s="342"/>
      <c r="R23" s="342"/>
      <c r="S23" s="342"/>
      <c r="T23" s="342"/>
      <c r="U23" s="342"/>
      <c r="V23" s="339"/>
      <c r="W23" s="172"/>
    </row>
    <row r="24" spans="1:45">
      <c r="A24" s="183"/>
      <c r="B24" s="342"/>
      <c r="C24" s="343"/>
      <c r="D24" s="342"/>
      <c r="E24" s="342"/>
      <c r="F24" s="342"/>
      <c r="G24" s="342"/>
      <c r="H24" s="342"/>
      <c r="I24" s="342"/>
      <c r="J24" s="342"/>
      <c r="K24" s="342"/>
      <c r="L24" s="342"/>
      <c r="M24" s="342"/>
      <c r="N24" s="342"/>
      <c r="O24" s="342"/>
      <c r="P24" s="342"/>
      <c r="Q24" s="342"/>
      <c r="R24" s="342"/>
      <c r="S24" s="342"/>
      <c r="T24" s="342"/>
      <c r="U24" s="342"/>
      <c r="V24" s="339"/>
      <c r="W24" s="172"/>
    </row>
    <row r="25" spans="1:45">
      <c r="A25" s="171" t="s">
        <v>56</v>
      </c>
      <c r="B25" s="168">
        <f t="shared" ref="B25:U25" si="7">B13-B22</f>
        <v>39903.157728601946</v>
      </c>
      <c r="C25" s="168">
        <f t="shared" si="7"/>
        <v>41942.908082038164</v>
      </c>
      <c r="D25" s="168">
        <f t="shared" si="7"/>
        <v>43975.773607816627</v>
      </c>
      <c r="E25" s="168">
        <f t="shared" si="7"/>
        <v>46105.546362868576</v>
      </c>
      <c r="F25" s="168">
        <f t="shared" si="7"/>
        <v>48336.816970471053</v>
      </c>
      <c r="G25" s="168">
        <f t="shared" si="7"/>
        <v>49289.262407927097</v>
      </c>
      <c r="H25" s="168">
        <f t="shared" si="7"/>
        <v>50272.935237218597</v>
      </c>
      <c r="I25" s="168">
        <f t="shared" si="7"/>
        <v>51275.633459670222</v>
      </c>
      <c r="J25" s="168">
        <f t="shared" si="7"/>
        <v>52297.716490622894</v>
      </c>
      <c r="K25" s="168">
        <f t="shared" si="7"/>
        <v>53339.550267676474</v>
      </c>
      <c r="L25" s="168">
        <f t="shared" si="7"/>
        <v>54373.233472626314</v>
      </c>
      <c r="M25" s="168">
        <f t="shared" si="7"/>
        <v>55426.293415018357</v>
      </c>
      <c r="N25" s="168">
        <f t="shared" si="7"/>
        <v>56499.082637028841</v>
      </c>
      <c r="O25" s="168">
        <f t="shared" si="7"/>
        <v>57591.959758887184</v>
      </c>
      <c r="P25" s="168">
        <f t="shared" si="7"/>
        <v>58705.289572767317</v>
      </c>
      <c r="Q25" s="168">
        <f t="shared" si="7"/>
        <v>59569.455808684761</v>
      </c>
      <c r="R25" s="168">
        <f t="shared" si="7"/>
        <v>60445.360808378624</v>
      </c>
      <c r="S25" s="168">
        <f t="shared" si="7"/>
        <v>61333.138491837752</v>
      </c>
      <c r="T25" s="168">
        <f t="shared" si="7"/>
        <v>62232.923439169637</v>
      </c>
      <c r="U25" s="168">
        <f t="shared" si="7"/>
        <v>63144.850858752179</v>
      </c>
      <c r="V25" s="307"/>
      <c r="W25" s="172">
        <f>SUM(B25:U25)</f>
        <v>1066060.8888780628</v>
      </c>
    </row>
    <row r="26" spans="1:45">
      <c r="A26" s="171"/>
      <c r="B26" s="344"/>
      <c r="C26" s="345"/>
      <c r="D26" s="344"/>
      <c r="E26" s="344"/>
      <c r="F26" s="344"/>
      <c r="G26" s="344"/>
      <c r="H26" s="344"/>
      <c r="I26" s="344"/>
      <c r="J26" s="344"/>
      <c r="K26" s="344"/>
      <c r="L26" s="344"/>
      <c r="M26" s="344"/>
      <c r="N26" s="344"/>
      <c r="O26" s="344"/>
      <c r="P26" s="344"/>
      <c r="Q26" s="344"/>
      <c r="R26" s="344"/>
      <c r="S26" s="344"/>
      <c r="T26" s="344"/>
      <c r="U26" s="344"/>
      <c r="V26" s="307"/>
      <c r="W26" s="172"/>
    </row>
    <row r="27" spans="1:45" s="5" customFormat="1">
      <c r="A27" s="175" t="s">
        <v>57</v>
      </c>
      <c r="B27" s="161">
        <f>Depreciation!C29</f>
        <v>10462.861280734036</v>
      </c>
      <c r="C27" s="161">
        <f>Depreciation!D29</f>
        <v>10462.861280734036</v>
      </c>
      <c r="D27" s="161">
        <f>Depreciation!E29</f>
        <v>10462.861280734036</v>
      </c>
      <c r="E27" s="161">
        <f>Depreciation!F29</f>
        <v>10462.861280734036</v>
      </c>
      <c r="F27" s="161">
        <f>Depreciation!G29</f>
        <v>10462.861280734036</v>
      </c>
      <c r="G27" s="161">
        <f>Depreciation!H29</f>
        <v>10462.861280734036</v>
      </c>
      <c r="H27" s="161">
        <f>Depreciation!I29</f>
        <v>10462.861280734036</v>
      </c>
      <c r="I27" s="161">
        <f>Depreciation!J29</f>
        <v>10462.861280734036</v>
      </c>
      <c r="J27" s="161">
        <f>Depreciation!K29</f>
        <v>10462.861280734036</v>
      </c>
      <c r="K27" s="161">
        <f>Depreciation!L29</f>
        <v>10462.861280734036</v>
      </c>
      <c r="L27" s="161">
        <f>Depreciation!M29</f>
        <v>10462.861280734036</v>
      </c>
      <c r="M27" s="161">
        <f>Depreciation!N29</f>
        <v>10462.861280734036</v>
      </c>
      <c r="N27" s="161">
        <f>Depreciation!O29</f>
        <v>10462.861280734036</v>
      </c>
      <c r="O27" s="161">
        <f>Depreciation!P29</f>
        <v>10462.861280734036</v>
      </c>
      <c r="P27" s="161">
        <f>Depreciation!Q29</f>
        <v>10462.861280734036</v>
      </c>
      <c r="Q27" s="161">
        <f>Depreciation!R29</f>
        <v>10462.861280734036</v>
      </c>
      <c r="R27" s="161">
        <f>Depreciation!S29</f>
        <v>10462.861280734036</v>
      </c>
      <c r="S27" s="161">
        <f>Depreciation!T29</f>
        <v>10462.861280734036</v>
      </c>
      <c r="T27" s="161">
        <f>Depreciation!U29</f>
        <v>10462.861280734036</v>
      </c>
      <c r="U27" s="161">
        <f>Depreciation!V29</f>
        <v>10462.861280734036</v>
      </c>
      <c r="V27" s="96"/>
      <c r="W27" s="172">
        <f>SUM(B27:U27)</f>
        <v>209257.22561468076</v>
      </c>
    </row>
    <row r="28" spans="1:45">
      <c r="A28" s="175"/>
      <c r="B28" s="161"/>
      <c r="C28" s="172"/>
      <c r="D28" s="161"/>
      <c r="E28" s="161"/>
      <c r="F28" s="161"/>
      <c r="G28" s="161"/>
      <c r="H28" s="161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W28" s="172"/>
    </row>
    <row r="29" spans="1:45" s="339" customFormat="1">
      <c r="A29" s="171" t="s">
        <v>58</v>
      </c>
      <c r="B29" s="344">
        <f t="shared" ref="B29:U29" si="8">B25-B27</f>
        <v>29440.29644786791</v>
      </c>
      <c r="C29" s="344">
        <f t="shared" si="8"/>
        <v>31480.046801304128</v>
      </c>
      <c r="D29" s="344">
        <f t="shared" si="8"/>
        <v>33512.912327082595</v>
      </c>
      <c r="E29" s="344">
        <f t="shared" si="8"/>
        <v>35642.685082134543</v>
      </c>
      <c r="F29" s="344">
        <f t="shared" si="8"/>
        <v>37873.95568973702</v>
      </c>
      <c r="G29" s="344">
        <f t="shared" si="8"/>
        <v>38826.401127193065</v>
      </c>
      <c r="H29" s="344">
        <f t="shared" si="8"/>
        <v>39810.073956484557</v>
      </c>
      <c r="I29" s="344">
        <f t="shared" si="8"/>
        <v>40812.772178936182</v>
      </c>
      <c r="J29" s="344">
        <f t="shared" si="8"/>
        <v>41834.855209888861</v>
      </c>
      <c r="K29" s="344">
        <f t="shared" si="8"/>
        <v>42876.688986942434</v>
      </c>
      <c r="L29" s="344">
        <f t="shared" si="8"/>
        <v>43910.372191892282</v>
      </c>
      <c r="M29" s="344">
        <f t="shared" si="8"/>
        <v>44963.432134284318</v>
      </c>
      <c r="N29" s="344">
        <f t="shared" si="8"/>
        <v>46036.221356294802</v>
      </c>
      <c r="O29" s="344">
        <f t="shared" si="8"/>
        <v>47129.098478153144</v>
      </c>
      <c r="P29" s="344">
        <f t="shared" si="8"/>
        <v>48242.428292033277</v>
      </c>
      <c r="Q29" s="344">
        <f t="shared" si="8"/>
        <v>49106.594527950729</v>
      </c>
      <c r="R29" s="344">
        <f t="shared" si="8"/>
        <v>49982.499527644584</v>
      </c>
      <c r="S29" s="344">
        <f t="shared" si="8"/>
        <v>50870.277211103719</v>
      </c>
      <c r="T29" s="344">
        <f t="shared" si="8"/>
        <v>51770.062158435598</v>
      </c>
      <c r="U29" s="344">
        <f t="shared" si="8"/>
        <v>52681.98957801814</v>
      </c>
      <c r="V29" s="307"/>
      <c r="W29" s="172">
        <f>SUM(B29:U29)</f>
        <v>856803.66326338192</v>
      </c>
    </row>
    <row r="30" spans="1:45" s="339" customFormat="1">
      <c r="A30" s="171"/>
      <c r="B30" s="344"/>
      <c r="C30" s="344"/>
      <c r="D30" s="344"/>
      <c r="E30" s="344"/>
      <c r="F30" s="344"/>
      <c r="G30" s="344"/>
      <c r="H30" s="344"/>
      <c r="I30" s="344"/>
      <c r="J30" s="344"/>
      <c r="K30" s="344"/>
      <c r="L30" s="344"/>
      <c r="M30" s="344"/>
      <c r="N30" s="344"/>
      <c r="O30" s="344"/>
      <c r="P30" s="344"/>
      <c r="Q30" s="344"/>
      <c r="R30" s="344"/>
      <c r="S30" s="344"/>
      <c r="T30" s="344"/>
      <c r="U30" s="344"/>
      <c r="V30" s="307"/>
      <c r="W30" s="172"/>
    </row>
    <row r="31" spans="1:45" s="307" customFormat="1">
      <c r="A31" s="6" t="s">
        <v>59</v>
      </c>
      <c r="B31" s="161">
        <f>IS!B33*Allocation!$E$8</f>
        <v>15297.910068700474</v>
      </c>
      <c r="C31" s="161">
        <f>IS!C33*Allocation!$E$8</f>
        <v>15339.937294163936</v>
      </c>
      <c r="D31" s="161">
        <f>IS!D33*Allocation!$E$8</f>
        <v>15339.937294163936</v>
      </c>
      <c r="E31" s="161">
        <f>IS!E33*Allocation!$E$8</f>
        <v>15331.243891498685</v>
      </c>
      <c r="F31" s="161">
        <f>IS!F33*Allocation!$E$8</f>
        <v>15068.893262339017</v>
      </c>
      <c r="G31" s="161">
        <f>IS!G33*Allocation!$E$8</f>
        <v>14782.360629494739</v>
      </c>
      <c r="H31" s="161">
        <f>IS!H33*Allocation!$E$8</f>
        <v>14460.336528988017</v>
      </c>
      <c r="I31" s="161">
        <f>IS!I33*Allocation!$E$8</f>
        <v>14144.043920567736</v>
      </c>
      <c r="J31" s="161">
        <f>IS!J33*Allocation!$E$8</f>
        <v>13704.962386644482</v>
      </c>
      <c r="K31" s="161">
        <f>IS!K33*Allocation!$E$8</f>
        <v>13241.257800096371</v>
      </c>
      <c r="L31" s="161">
        <f>IS!L33*Allocation!$E$8</f>
        <v>12450.974966473283</v>
      </c>
      <c r="M31" s="161">
        <f>IS!M33*Allocation!$E$8</f>
        <v>11185.174714047831</v>
      </c>
      <c r="N31" s="161">
        <f>IS!N33*Allocation!$E$8</f>
        <v>9856.4665170261978</v>
      </c>
      <c r="O31" s="161">
        <f>IS!O33*Allocation!$E$8</f>
        <v>8559.2122923026564</v>
      </c>
      <c r="P31" s="161">
        <f>IS!P33*Allocation!$E$8</f>
        <v>7245.6091102264345</v>
      </c>
      <c r="Q31" s="161">
        <f>IS!Q33*Allocation!$E$8</f>
        <v>5884.2029984994406</v>
      </c>
      <c r="R31" s="161">
        <f>IS!R33*Allocation!$E$8</f>
        <v>4440.16356971814</v>
      </c>
      <c r="S31" s="161">
        <f>IS!S33*Allocation!$E$8</f>
        <v>3078.579751932964</v>
      </c>
      <c r="T31" s="161">
        <f>IS!T33*Allocation!$E$8</f>
        <v>1911.0509496817767</v>
      </c>
      <c r="U31" s="161">
        <f>IS!U33*Allocation!$E$8</f>
        <v>746.36544436148984</v>
      </c>
      <c r="V31" s="96"/>
      <c r="W31" s="172">
        <f>SUM(B31:U31)</f>
        <v>212068.68339092765</v>
      </c>
    </row>
    <row r="32" spans="1:45" s="307" customFormat="1">
      <c r="A32" s="6"/>
      <c r="B32" s="268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6"/>
      <c r="R32" s="346"/>
      <c r="S32" s="346"/>
      <c r="T32" s="346"/>
      <c r="U32" s="346"/>
      <c r="V32" s="96"/>
      <c r="W32" s="172"/>
    </row>
    <row r="33" spans="1:23">
      <c r="A33" s="171" t="s">
        <v>60</v>
      </c>
      <c r="B33" s="344">
        <f t="shared" ref="B33:U33" si="9">B29-B31</f>
        <v>14142.386379167436</v>
      </c>
      <c r="C33" s="344">
        <f t="shared" si="9"/>
        <v>16140.109507140192</v>
      </c>
      <c r="D33" s="344">
        <f t="shared" si="9"/>
        <v>18172.975032918657</v>
      </c>
      <c r="E33" s="344">
        <f t="shared" si="9"/>
        <v>20311.441190635858</v>
      </c>
      <c r="F33" s="344">
        <f t="shared" si="9"/>
        <v>22805.062427398003</v>
      </c>
      <c r="G33" s="344">
        <f t="shared" si="9"/>
        <v>24044.040497698326</v>
      </c>
      <c r="H33" s="344">
        <f t="shared" si="9"/>
        <v>25349.73742749654</v>
      </c>
      <c r="I33" s="344">
        <f t="shared" si="9"/>
        <v>26668.728258368446</v>
      </c>
      <c r="J33" s="344">
        <f t="shared" si="9"/>
        <v>28129.89282324438</v>
      </c>
      <c r="K33" s="344">
        <f t="shared" si="9"/>
        <v>29635.431186846065</v>
      </c>
      <c r="L33" s="344">
        <f t="shared" si="9"/>
        <v>31459.397225419001</v>
      </c>
      <c r="M33" s="344">
        <f t="shared" si="9"/>
        <v>33778.257420236485</v>
      </c>
      <c r="N33" s="344">
        <f t="shared" si="9"/>
        <v>36179.7548392686</v>
      </c>
      <c r="O33" s="344">
        <f t="shared" si="9"/>
        <v>38569.88618585049</v>
      </c>
      <c r="P33" s="344">
        <f t="shared" si="9"/>
        <v>40996.819181806844</v>
      </c>
      <c r="Q33" s="344">
        <f t="shared" si="9"/>
        <v>43222.391529451284</v>
      </c>
      <c r="R33" s="344">
        <f t="shared" si="9"/>
        <v>45542.335957926443</v>
      </c>
      <c r="S33" s="344">
        <f t="shared" si="9"/>
        <v>47791.697459170755</v>
      </c>
      <c r="T33" s="344">
        <f t="shared" si="9"/>
        <v>49859.011208753822</v>
      </c>
      <c r="U33" s="344">
        <f t="shared" si="9"/>
        <v>51935.624133656653</v>
      </c>
      <c r="V33" s="307"/>
      <c r="W33" s="172">
        <f>SUM(B33:U33)</f>
        <v>644734.97987245431</v>
      </c>
    </row>
    <row r="34" spans="1:23">
      <c r="A34" s="171"/>
      <c r="B34" s="344"/>
      <c r="C34" s="344"/>
      <c r="D34" s="344"/>
      <c r="E34" s="344"/>
      <c r="F34" s="344"/>
      <c r="G34" s="344"/>
      <c r="H34" s="344"/>
      <c r="I34" s="344"/>
      <c r="J34" s="344"/>
      <c r="K34" s="344"/>
      <c r="L34" s="344"/>
      <c r="M34" s="344"/>
      <c r="N34" s="344"/>
      <c r="O34" s="344"/>
      <c r="P34" s="344"/>
      <c r="Q34" s="344"/>
      <c r="R34" s="344"/>
      <c r="S34" s="344"/>
      <c r="T34" s="344"/>
      <c r="U34" s="344"/>
      <c r="V34" s="307"/>
      <c r="W34" s="172"/>
    </row>
    <row r="35" spans="1:23" s="307" customFormat="1">
      <c r="A35" s="175" t="s">
        <v>61</v>
      </c>
      <c r="B35" s="161">
        <f>B33*-Assumptions!$E$38</f>
        <v>-1015.4233420242219</v>
      </c>
      <c r="C35" s="161">
        <f>C33*-Assumptions!$E$38</f>
        <v>-1158.8598626126659</v>
      </c>
      <c r="D35" s="161">
        <f>D33*-Assumptions!$E$38</f>
        <v>-1304.8196073635597</v>
      </c>
      <c r="E35" s="161">
        <f>E33*-Assumptions!$E$38</f>
        <v>-1458.3614774876546</v>
      </c>
      <c r="F35" s="161">
        <f>F33*-Assumptions!$E$38</f>
        <v>-1637.4034822871768</v>
      </c>
      <c r="G35" s="161">
        <f>G33*-Assumptions!$E$38</f>
        <v>-1726.36210773474</v>
      </c>
      <c r="H35" s="161">
        <f>H33*-Assumptions!$E$38</f>
        <v>-1820.1111472942516</v>
      </c>
      <c r="I35" s="161">
        <f>I33*-Assumptions!$E$38</f>
        <v>-1914.8146889508546</v>
      </c>
      <c r="J35" s="161">
        <f>J33*-Assumptions!$E$38</f>
        <v>-2019.7263047089466</v>
      </c>
      <c r="K35" s="161">
        <f>K33*-Assumptions!$E$38</f>
        <v>-2127.8239592155473</v>
      </c>
      <c r="L35" s="161">
        <f>L33*-Assumptions!$E$38</f>
        <v>-2258.7847207850846</v>
      </c>
      <c r="M35" s="161">
        <f>M33*-Assumptions!$E$38</f>
        <v>-2425.2788827729796</v>
      </c>
      <c r="N35" s="161">
        <f>N33*-Assumptions!$E$38</f>
        <v>-2597.7063974594857</v>
      </c>
      <c r="O35" s="161">
        <f>O33*-Assumptions!$E$38</f>
        <v>-2769.3178281440651</v>
      </c>
      <c r="P35" s="161">
        <f>P33*-Assumptions!$E$38</f>
        <v>-2943.5716172537313</v>
      </c>
      <c r="Q35" s="161">
        <f>Q33*-Assumptions!$E$38</f>
        <v>-3103.3677118146024</v>
      </c>
      <c r="R35" s="161">
        <f>R33*-Assumptions!$E$38</f>
        <v>-3269.9397217791188</v>
      </c>
      <c r="S35" s="161">
        <f>S33*-Assumptions!$E$38</f>
        <v>-3431.4438775684603</v>
      </c>
      <c r="T35" s="161">
        <f>T33*-Assumptions!$E$38</f>
        <v>-3579.8770047885246</v>
      </c>
      <c r="U35" s="161">
        <f>U33*-Assumptions!$E$38</f>
        <v>-3728.9778127965478</v>
      </c>
      <c r="V35" s="96"/>
      <c r="W35" s="172">
        <f>SUM(B35:U35)</f>
        <v>-46291.971554842225</v>
      </c>
    </row>
    <row r="36" spans="1:23" s="307" customFormat="1">
      <c r="A36" s="175" t="s">
        <v>62</v>
      </c>
      <c r="B36" s="347">
        <f>(B33+B35)*-Assumptions!$E$37</f>
        <v>-4594.4370630001249</v>
      </c>
      <c r="C36" s="347">
        <f>(C33+C35)*-Assumptions!$E$37</f>
        <v>-5243.4373755846336</v>
      </c>
      <c r="D36" s="347">
        <f>(D33+D35)*-Assumptions!$E$37</f>
        <v>-5903.8543989442842</v>
      </c>
      <c r="E36" s="347">
        <f>(E33+E35)*-Assumptions!$E$37</f>
        <v>-6598.5778996018707</v>
      </c>
      <c r="F36" s="347">
        <f>(F33+F35)*-Assumptions!$E$37</f>
        <v>-7408.6806307887891</v>
      </c>
      <c r="G36" s="347">
        <f>(G33+G35)*-Assumptions!$E$37</f>
        <v>-7811.1874364872538</v>
      </c>
      <c r="H36" s="347">
        <f>(H33+H35)*-Assumptions!$E$37</f>
        <v>-8235.3691980708008</v>
      </c>
      <c r="I36" s="347">
        <f>(I33+I35)*-Assumptions!$E$37</f>
        <v>-8663.8697492961564</v>
      </c>
      <c r="J36" s="347">
        <f>(J33+J35)*-Assumptions!$E$37</f>
        <v>-9138.5582814874015</v>
      </c>
      <c r="K36" s="347">
        <f>(K33+K35)*-Assumptions!$E$37</f>
        <v>-9627.6625296706807</v>
      </c>
      <c r="L36" s="347">
        <f>(L33+L35)*-Assumptions!$E$37</f>
        <v>-10220.214376621869</v>
      </c>
      <c r="M36" s="347">
        <f>(M33+M35)*-Assumptions!$E$37</f>
        <v>-10973.542488112227</v>
      </c>
      <c r="N36" s="347">
        <f>(N33+N35)*-Assumptions!$E$37</f>
        <v>-11753.71695463319</v>
      </c>
      <c r="O36" s="347">
        <f>(O33+O35)*-Assumptions!$E$37</f>
        <v>-12530.198925197248</v>
      </c>
      <c r="P36" s="347">
        <f>(P33+P35)*-Assumptions!$E$37</f>
        <v>-13318.63664759359</v>
      </c>
      <c r="Q36" s="347">
        <f>(Q33+Q35)*-Assumptions!$E$37</f>
        <v>-14041.658336172839</v>
      </c>
      <c r="R36" s="347">
        <f>(R33+R35)*-Assumptions!$E$37</f>
        <v>-14795.338682651562</v>
      </c>
      <c r="S36" s="347">
        <f>(S33+S35)*-Assumptions!$E$37</f>
        <v>-15526.088753560802</v>
      </c>
      <c r="T36" s="347">
        <f>(T33+T35)*-Assumptions!$E$37</f>
        <v>-16197.696971387852</v>
      </c>
      <c r="U36" s="347">
        <f>(U33+U35)*-Assumptions!$E$37</f>
        <v>-16872.326212301035</v>
      </c>
      <c r="V36" s="96"/>
      <c r="W36" s="172">
        <f>SUM(B36:U36)</f>
        <v>-209455.05291116418</v>
      </c>
    </row>
    <row r="37" spans="1:23">
      <c r="B37" s="161"/>
      <c r="C37" s="161"/>
      <c r="D37" s="161"/>
      <c r="E37" s="161"/>
      <c r="F37" s="161"/>
      <c r="G37" s="161"/>
      <c r="H37" s="161"/>
      <c r="I37" s="161"/>
      <c r="J37" s="161"/>
      <c r="K37" s="161"/>
      <c r="L37" s="161"/>
      <c r="M37" s="161"/>
      <c r="N37" s="161"/>
      <c r="O37" s="161"/>
      <c r="P37" s="161"/>
      <c r="Q37" s="161"/>
      <c r="R37" s="161"/>
      <c r="S37" s="161"/>
      <c r="T37" s="161"/>
      <c r="U37" s="161"/>
      <c r="W37" s="172"/>
    </row>
    <row r="38" spans="1:23" ht="15.75">
      <c r="A38" s="186" t="s">
        <v>189</v>
      </c>
      <c r="B38" s="348">
        <f t="shared" ref="B38:U38" si="10">SUM(B33:B36)</f>
        <v>8532.5259741430891</v>
      </c>
      <c r="C38" s="348">
        <f t="shared" si="10"/>
        <v>9737.8122689428928</v>
      </c>
      <c r="D38" s="348">
        <f t="shared" si="10"/>
        <v>10964.301026610814</v>
      </c>
      <c r="E38" s="348">
        <f t="shared" si="10"/>
        <v>12254.501813546332</v>
      </c>
      <c r="F38" s="348">
        <f t="shared" si="10"/>
        <v>13758.978314322037</v>
      </c>
      <c r="G38" s="348">
        <f t="shared" si="10"/>
        <v>14506.490953476332</v>
      </c>
      <c r="H38" s="348">
        <f t="shared" si="10"/>
        <v>15294.257082131489</v>
      </c>
      <c r="I38" s="348">
        <f t="shared" si="10"/>
        <v>16090.043820121437</v>
      </c>
      <c r="J38" s="348">
        <f t="shared" si="10"/>
        <v>16971.608237048029</v>
      </c>
      <c r="K38" s="348">
        <f t="shared" si="10"/>
        <v>17879.944697959836</v>
      </c>
      <c r="L38" s="348">
        <f t="shared" si="10"/>
        <v>18980.398128012046</v>
      </c>
      <c r="M38" s="348">
        <f t="shared" si="10"/>
        <v>20379.43604935128</v>
      </c>
      <c r="N38" s="348">
        <f t="shared" si="10"/>
        <v>21828.331487175925</v>
      </c>
      <c r="O38" s="348">
        <f t="shared" si="10"/>
        <v>23270.369432509178</v>
      </c>
      <c r="P38" s="348">
        <f t="shared" si="10"/>
        <v>24734.610916959526</v>
      </c>
      <c r="Q38" s="348">
        <f t="shared" si="10"/>
        <v>26077.365481463843</v>
      </c>
      <c r="R38" s="348">
        <f t="shared" si="10"/>
        <v>27477.057553495761</v>
      </c>
      <c r="S38" s="348">
        <f t="shared" si="10"/>
        <v>28834.164828041492</v>
      </c>
      <c r="T38" s="348">
        <f t="shared" si="10"/>
        <v>30081.437232577446</v>
      </c>
      <c r="U38" s="348">
        <f t="shared" si="10"/>
        <v>31334.32010855907</v>
      </c>
      <c r="V38" s="349"/>
      <c r="W38" s="172">
        <f>SUM(B38:U38)</f>
        <v>388987.95540644787</v>
      </c>
    </row>
    <row r="39" spans="1:23" s="307" customFormat="1">
      <c r="A39" s="340"/>
      <c r="B39" s="350"/>
      <c r="C39" s="351"/>
      <c r="D39" s="350"/>
      <c r="E39" s="350"/>
      <c r="F39" s="350"/>
      <c r="G39" s="350"/>
      <c r="H39" s="350"/>
      <c r="I39" s="350"/>
      <c r="J39" s="350"/>
      <c r="K39" s="350"/>
      <c r="L39" s="350"/>
      <c r="M39" s="350"/>
      <c r="N39" s="350"/>
      <c r="O39" s="350"/>
      <c r="P39" s="350"/>
      <c r="Q39" s="350"/>
      <c r="R39" s="350"/>
      <c r="S39" s="350"/>
      <c r="T39" s="350"/>
      <c r="U39" s="350"/>
      <c r="V39" s="339"/>
      <c r="W39" s="339"/>
    </row>
    <row r="40" spans="1:23" s="307" customFormat="1">
      <c r="A40" s="340"/>
      <c r="B40" s="350"/>
      <c r="C40" s="351"/>
      <c r="D40" s="350"/>
      <c r="E40" s="350"/>
      <c r="F40" s="350"/>
      <c r="G40" s="350"/>
      <c r="H40" s="350"/>
      <c r="I40" s="350"/>
      <c r="J40" s="350"/>
      <c r="K40" s="350"/>
      <c r="L40" s="350"/>
      <c r="M40" s="350"/>
      <c r="N40" s="350"/>
      <c r="O40" s="350"/>
      <c r="P40" s="350"/>
      <c r="Q40" s="350"/>
      <c r="R40" s="350"/>
      <c r="S40" s="350"/>
      <c r="T40" s="350"/>
      <c r="U40" s="350"/>
      <c r="V40" s="339"/>
      <c r="W40" s="339"/>
    </row>
    <row r="41" spans="1:23">
      <c r="A41" s="266"/>
      <c r="B41" s="204"/>
      <c r="C41" s="204"/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04"/>
      <c r="O41" s="204"/>
      <c r="P41" s="204"/>
      <c r="Q41" s="204"/>
      <c r="R41" s="204"/>
      <c r="S41" s="204"/>
      <c r="T41" s="204"/>
      <c r="U41" s="204"/>
    </row>
    <row r="42" spans="1:23" ht="18">
      <c r="A42" s="352" t="s">
        <v>187</v>
      </c>
      <c r="B42" s="204"/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</row>
    <row r="43" spans="1:23">
      <c r="A43" s="171"/>
      <c r="B43" s="204"/>
      <c r="C43" s="204"/>
      <c r="D43" s="204"/>
      <c r="E43" s="204"/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</row>
    <row r="44" spans="1:23" s="349" customFormat="1" ht="15.75">
      <c r="A44" s="171"/>
      <c r="B44" s="204"/>
      <c r="C44" s="204"/>
      <c r="D44" s="204"/>
      <c r="E44" s="204"/>
      <c r="F44" s="204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04"/>
      <c r="V44" s="96"/>
      <c r="W44" s="96"/>
    </row>
    <row r="45" spans="1:23" s="339" customFormat="1">
      <c r="A45" s="171"/>
      <c r="B45" s="204"/>
      <c r="C45" s="204"/>
      <c r="D45" s="204"/>
      <c r="E45" s="204"/>
      <c r="F45" s="204"/>
      <c r="G45" s="204"/>
      <c r="H45" s="204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4"/>
      <c r="T45" s="204"/>
      <c r="U45" s="204"/>
      <c r="V45" s="96"/>
      <c r="W45" s="96"/>
    </row>
    <row r="46" spans="1:23" s="339" customFormat="1" ht="13.5" thickBot="1">
      <c r="A46" s="162" t="s">
        <v>49</v>
      </c>
      <c r="B46" s="163">
        <v>2001</v>
      </c>
      <c r="C46" s="163">
        <f>B46+1</f>
        <v>2002</v>
      </c>
      <c r="D46" s="163">
        <f t="shared" ref="D46:U46" si="11">C46+1</f>
        <v>2003</v>
      </c>
      <c r="E46" s="163">
        <f t="shared" si="11"/>
        <v>2004</v>
      </c>
      <c r="F46" s="163">
        <f t="shared" si="11"/>
        <v>2005</v>
      </c>
      <c r="G46" s="163">
        <f t="shared" si="11"/>
        <v>2006</v>
      </c>
      <c r="H46" s="163">
        <f t="shared" si="11"/>
        <v>2007</v>
      </c>
      <c r="I46" s="163">
        <f t="shared" si="11"/>
        <v>2008</v>
      </c>
      <c r="J46" s="163">
        <f t="shared" si="11"/>
        <v>2009</v>
      </c>
      <c r="K46" s="163">
        <f t="shared" si="11"/>
        <v>2010</v>
      </c>
      <c r="L46" s="163">
        <f t="shared" si="11"/>
        <v>2011</v>
      </c>
      <c r="M46" s="163">
        <f t="shared" si="11"/>
        <v>2012</v>
      </c>
      <c r="N46" s="163">
        <f t="shared" si="11"/>
        <v>2013</v>
      </c>
      <c r="O46" s="163">
        <f t="shared" si="11"/>
        <v>2014</v>
      </c>
      <c r="P46" s="163">
        <f t="shared" si="11"/>
        <v>2015</v>
      </c>
      <c r="Q46" s="163">
        <f t="shared" si="11"/>
        <v>2016</v>
      </c>
      <c r="R46" s="163">
        <f t="shared" si="11"/>
        <v>2017</v>
      </c>
      <c r="S46" s="163">
        <f t="shared" si="11"/>
        <v>2018</v>
      </c>
      <c r="T46" s="163">
        <f t="shared" si="11"/>
        <v>2019</v>
      </c>
      <c r="U46" s="163">
        <f t="shared" si="11"/>
        <v>2020</v>
      </c>
      <c r="V46" s="96"/>
      <c r="W46" s="303" t="s">
        <v>146</v>
      </c>
    </row>
    <row r="47" spans="1:23">
      <c r="A47" s="262"/>
      <c r="B47" s="204"/>
      <c r="C47" s="204"/>
      <c r="D47" s="204"/>
      <c r="E47" s="204"/>
      <c r="F47" s="204"/>
      <c r="G47" s="204"/>
      <c r="H47" s="204"/>
      <c r="I47" s="204"/>
      <c r="J47" s="204"/>
      <c r="K47" s="204"/>
      <c r="L47" s="204"/>
      <c r="M47" s="204"/>
      <c r="N47" s="204"/>
      <c r="O47" s="204"/>
      <c r="P47" s="204"/>
      <c r="Q47" s="204"/>
      <c r="R47" s="204"/>
      <c r="S47" s="204"/>
      <c r="T47" s="204"/>
      <c r="U47" s="204"/>
      <c r="W47" s="279"/>
    </row>
    <row r="48" spans="1:23">
      <c r="A48" s="266" t="s">
        <v>56</v>
      </c>
      <c r="B48" s="268">
        <f t="shared" ref="B48:U48" si="12">B25</f>
        <v>39903.157728601946</v>
      </c>
      <c r="C48" s="268">
        <f t="shared" si="12"/>
        <v>41942.908082038164</v>
      </c>
      <c r="D48" s="268">
        <f t="shared" si="12"/>
        <v>43975.773607816627</v>
      </c>
      <c r="E48" s="268">
        <f t="shared" si="12"/>
        <v>46105.546362868576</v>
      </c>
      <c r="F48" s="268">
        <f t="shared" si="12"/>
        <v>48336.816970471053</v>
      </c>
      <c r="G48" s="268">
        <f t="shared" si="12"/>
        <v>49289.262407927097</v>
      </c>
      <c r="H48" s="268">
        <f t="shared" si="12"/>
        <v>50272.935237218597</v>
      </c>
      <c r="I48" s="268">
        <f t="shared" si="12"/>
        <v>51275.633459670222</v>
      </c>
      <c r="J48" s="268">
        <f t="shared" si="12"/>
        <v>52297.716490622894</v>
      </c>
      <c r="K48" s="268">
        <f t="shared" si="12"/>
        <v>53339.550267676474</v>
      </c>
      <c r="L48" s="268">
        <f t="shared" si="12"/>
        <v>54373.233472626314</v>
      </c>
      <c r="M48" s="268">
        <f t="shared" si="12"/>
        <v>55426.293415018357</v>
      </c>
      <c r="N48" s="268">
        <f t="shared" si="12"/>
        <v>56499.082637028841</v>
      </c>
      <c r="O48" s="268">
        <f t="shared" si="12"/>
        <v>57591.959758887184</v>
      </c>
      <c r="P48" s="268">
        <f t="shared" si="12"/>
        <v>58705.289572767317</v>
      </c>
      <c r="Q48" s="268">
        <f t="shared" si="12"/>
        <v>59569.455808684761</v>
      </c>
      <c r="R48" s="268">
        <f t="shared" si="12"/>
        <v>60445.360808378624</v>
      </c>
      <c r="S48" s="268">
        <f t="shared" si="12"/>
        <v>61333.138491837752</v>
      </c>
      <c r="T48" s="268">
        <f t="shared" si="12"/>
        <v>62232.923439169637</v>
      </c>
      <c r="U48" s="268">
        <f t="shared" si="12"/>
        <v>63144.850858752179</v>
      </c>
      <c r="W48" s="177">
        <f>SUM(B48:U48)</f>
        <v>1066060.8888780628</v>
      </c>
    </row>
    <row r="49" spans="1:45">
      <c r="A49" s="266" t="s">
        <v>153</v>
      </c>
      <c r="B49" s="268">
        <f>B20</f>
        <v>572</v>
      </c>
      <c r="C49" s="268">
        <f t="shared" ref="C49:U49" si="13">C20</f>
        <v>583.4</v>
      </c>
      <c r="D49" s="268">
        <f t="shared" si="13"/>
        <v>595.1</v>
      </c>
      <c r="E49" s="268">
        <f t="shared" si="13"/>
        <v>607</v>
      </c>
      <c r="F49" s="268">
        <f t="shared" si="13"/>
        <v>619.1</v>
      </c>
      <c r="G49" s="268">
        <f t="shared" si="13"/>
        <v>631.5</v>
      </c>
      <c r="H49" s="268">
        <f t="shared" si="13"/>
        <v>631.5</v>
      </c>
      <c r="I49" s="268">
        <f t="shared" si="13"/>
        <v>631.5</v>
      </c>
      <c r="J49" s="268">
        <f t="shared" si="13"/>
        <v>631.5</v>
      </c>
      <c r="K49" s="268">
        <f t="shared" si="13"/>
        <v>631.5</v>
      </c>
      <c r="L49" s="268">
        <f t="shared" si="13"/>
        <v>631.5</v>
      </c>
      <c r="M49" s="268">
        <f t="shared" si="13"/>
        <v>631.5</v>
      </c>
      <c r="N49" s="268">
        <f t="shared" si="13"/>
        <v>631.5</v>
      </c>
      <c r="O49" s="268">
        <f t="shared" si="13"/>
        <v>631.5</v>
      </c>
      <c r="P49" s="268">
        <f t="shared" si="13"/>
        <v>631.5</v>
      </c>
      <c r="Q49" s="268">
        <f t="shared" si="13"/>
        <v>631.5</v>
      </c>
      <c r="R49" s="268">
        <f t="shared" si="13"/>
        <v>631.5</v>
      </c>
      <c r="S49" s="268">
        <f t="shared" si="13"/>
        <v>631.5</v>
      </c>
      <c r="T49" s="268">
        <f t="shared" si="13"/>
        <v>631.5</v>
      </c>
      <c r="U49" s="268">
        <f t="shared" si="13"/>
        <v>631.5</v>
      </c>
      <c r="W49" s="177">
        <f>SUM(B49:U49)</f>
        <v>12449.1</v>
      </c>
    </row>
    <row r="50" spans="1:45">
      <c r="A50" s="266" t="s">
        <v>154</v>
      </c>
      <c r="B50" s="353">
        <v>-333.7</v>
      </c>
      <c r="C50" s="268">
        <f>-B49</f>
        <v>-572</v>
      </c>
      <c r="D50" s="268">
        <f t="shared" ref="D50:U50" si="14">-C49</f>
        <v>-583.4</v>
      </c>
      <c r="E50" s="268">
        <f t="shared" si="14"/>
        <v>-595.1</v>
      </c>
      <c r="F50" s="268">
        <f t="shared" si="14"/>
        <v>-607</v>
      </c>
      <c r="G50" s="268">
        <f t="shared" si="14"/>
        <v>-619.1</v>
      </c>
      <c r="H50" s="268">
        <f t="shared" si="14"/>
        <v>-631.5</v>
      </c>
      <c r="I50" s="268">
        <f t="shared" si="14"/>
        <v>-631.5</v>
      </c>
      <c r="J50" s="268">
        <f t="shared" si="14"/>
        <v>-631.5</v>
      </c>
      <c r="K50" s="268">
        <f t="shared" si="14"/>
        <v>-631.5</v>
      </c>
      <c r="L50" s="268">
        <f t="shared" si="14"/>
        <v>-631.5</v>
      </c>
      <c r="M50" s="268">
        <f t="shared" si="14"/>
        <v>-631.5</v>
      </c>
      <c r="N50" s="268">
        <f t="shared" si="14"/>
        <v>-631.5</v>
      </c>
      <c r="O50" s="268">
        <f t="shared" si="14"/>
        <v>-631.5</v>
      </c>
      <c r="P50" s="268">
        <f t="shared" si="14"/>
        <v>-631.5</v>
      </c>
      <c r="Q50" s="268">
        <f t="shared" si="14"/>
        <v>-631.5</v>
      </c>
      <c r="R50" s="268">
        <f t="shared" si="14"/>
        <v>-631.5</v>
      </c>
      <c r="S50" s="268">
        <f t="shared" si="14"/>
        <v>-631.5</v>
      </c>
      <c r="T50" s="268">
        <f t="shared" si="14"/>
        <v>-631.5</v>
      </c>
      <c r="U50" s="268">
        <f t="shared" si="14"/>
        <v>-631.5</v>
      </c>
      <c r="W50" s="177">
        <f>SUM(B50:U50)</f>
        <v>-12151.3</v>
      </c>
    </row>
    <row r="51" spans="1:45">
      <c r="A51" s="266" t="s">
        <v>64</v>
      </c>
      <c r="B51" s="354">
        <f>-Debt!B77*Allocation!$E$8</f>
        <v>-15297.910068700474</v>
      </c>
      <c r="C51" s="354">
        <f>-Debt!C77*Allocation!$E$8</f>
        <v>-15339.937294163936</v>
      </c>
      <c r="D51" s="354">
        <f>-Debt!D77*Allocation!$E$8</f>
        <v>-15339.937294163936</v>
      </c>
      <c r="E51" s="354">
        <f>-Debt!E77*Allocation!$E$8</f>
        <v>-17161.847589523706</v>
      </c>
      <c r="F51" s="354">
        <f>-Debt!F77*Allocation!$E$8</f>
        <v>-17588.66541138522</v>
      </c>
      <c r="G51" s="354">
        <f>-Debt!G77*Allocation!$E$8</f>
        <v>-17646.717004051534</v>
      </c>
      <c r="H51" s="354">
        <f>-Debt!H77*Allocation!$E$8</f>
        <v>-17583.131072677752</v>
      </c>
      <c r="I51" s="354">
        <f>-Debt!I77*Allocation!$E$8</f>
        <v>-17697.568746145716</v>
      </c>
      <c r="J51" s="354">
        <f>-Debt!J77*Allocation!$E$8</f>
        <v>-17603.071437733055</v>
      </c>
      <c r="K51" s="354">
        <f>-Debt!K77*Allocation!$E$8</f>
        <v>-18727.195299418407</v>
      </c>
      <c r="L51" s="354">
        <f>-Debt!L77*Allocation!$E$8</f>
        <v>-24041.535279102285</v>
      </c>
      <c r="M51" s="354">
        <f>-Debt!M77*Allocation!$E$8</f>
        <v>-22775.735026676834</v>
      </c>
      <c r="N51" s="354">
        <f>-Debt!N77*Allocation!$E$8</f>
        <v>-21447.026829655199</v>
      </c>
      <c r="O51" s="354">
        <f>-Debt!O77*Allocation!$E$8</f>
        <v>-20149.772604931655</v>
      </c>
      <c r="P51" s="354">
        <f>-Debt!P77*Allocation!$E$8</f>
        <v>-19415.697438486888</v>
      </c>
      <c r="Q51" s="354">
        <f>-Debt!Q77*Allocation!$E$8</f>
        <v>-18633.819342391344</v>
      </c>
      <c r="R51" s="354">
        <f>-Debt!R77*Allocation!$E$8</f>
        <v>-17189.779913610044</v>
      </c>
      <c r="S51" s="354">
        <f>-Debt!S77*Allocation!$E$8</f>
        <v>-13510.084033299067</v>
      </c>
      <c r="T51" s="354">
        <f>-Debt!T77*Allocation!$E$8</f>
        <v>-12342.55523104788</v>
      </c>
      <c r="U51" s="354">
        <f>-Debt!U77*Allocation!$E$8</f>
        <v>-10018.813694464701</v>
      </c>
      <c r="W51" s="177">
        <f>SUM(B51:U51)</f>
        <v>-349510.80061162956</v>
      </c>
    </row>
    <row r="52" spans="1:45">
      <c r="A52" s="266"/>
      <c r="B52" s="357"/>
      <c r="C52" s="357"/>
      <c r="D52" s="357"/>
      <c r="E52" s="357"/>
      <c r="F52" s="357"/>
      <c r="G52" s="357"/>
      <c r="H52" s="357"/>
      <c r="I52" s="357"/>
      <c r="J52" s="357"/>
      <c r="K52" s="357"/>
      <c r="L52" s="357"/>
      <c r="M52" s="357"/>
      <c r="N52" s="357"/>
      <c r="O52" s="357"/>
      <c r="P52" s="357"/>
      <c r="Q52" s="357"/>
      <c r="R52" s="357"/>
      <c r="S52" s="357"/>
      <c r="T52" s="357"/>
      <c r="U52" s="357"/>
      <c r="W52" s="259"/>
    </row>
    <row r="53" spans="1:45">
      <c r="A53" s="262" t="s">
        <v>65</v>
      </c>
      <c r="B53" s="355">
        <f t="shared" ref="B53:U53" si="15">SUM(B48:B51)</f>
        <v>24843.547659901473</v>
      </c>
      <c r="C53" s="355">
        <f t="shared" si="15"/>
        <v>26614.370787874228</v>
      </c>
      <c r="D53" s="355">
        <f t="shared" si="15"/>
        <v>28647.536313652687</v>
      </c>
      <c r="E53" s="355">
        <f t="shared" si="15"/>
        <v>28955.598773344871</v>
      </c>
      <c r="F53" s="355">
        <f t="shared" si="15"/>
        <v>30760.251559085831</v>
      </c>
      <c r="G53" s="355">
        <f t="shared" si="15"/>
        <v>31654.945403875565</v>
      </c>
      <c r="H53" s="355">
        <f t="shared" si="15"/>
        <v>32689.804164540845</v>
      </c>
      <c r="I53" s="355">
        <f t="shared" si="15"/>
        <v>33578.064713524509</v>
      </c>
      <c r="J53" s="355">
        <f t="shared" si="15"/>
        <v>34694.645052889842</v>
      </c>
      <c r="K53" s="355">
        <f t="shared" si="15"/>
        <v>34612.354968258063</v>
      </c>
      <c r="L53" s="355">
        <f t="shared" si="15"/>
        <v>30331.698193524029</v>
      </c>
      <c r="M53" s="355">
        <f t="shared" si="15"/>
        <v>32650.558388341524</v>
      </c>
      <c r="N53" s="355">
        <f t="shared" si="15"/>
        <v>35052.055807373647</v>
      </c>
      <c r="O53" s="355">
        <f t="shared" si="15"/>
        <v>37442.187153955529</v>
      </c>
      <c r="P53" s="355">
        <f t="shared" si="15"/>
        <v>39289.592134280429</v>
      </c>
      <c r="Q53" s="355">
        <f t="shared" si="15"/>
        <v>40935.636466293421</v>
      </c>
      <c r="R53" s="355">
        <f t="shared" si="15"/>
        <v>43255.58089476858</v>
      </c>
      <c r="S53" s="355">
        <f t="shared" si="15"/>
        <v>47823.054458538682</v>
      </c>
      <c r="T53" s="355">
        <f t="shared" si="15"/>
        <v>49890.368208121756</v>
      </c>
      <c r="U53" s="355">
        <f t="shared" si="15"/>
        <v>53126.037164287482</v>
      </c>
      <c r="V53" s="307"/>
      <c r="W53" s="177">
        <f>SUM(B53:U53)</f>
        <v>716847.88826643291</v>
      </c>
    </row>
    <row r="54" spans="1:45">
      <c r="A54" s="262"/>
      <c r="B54" s="346"/>
      <c r="C54" s="346"/>
      <c r="D54" s="346"/>
      <c r="E54" s="346"/>
      <c r="F54" s="346"/>
      <c r="G54" s="346"/>
      <c r="H54" s="346"/>
      <c r="I54" s="346"/>
      <c r="J54" s="346"/>
      <c r="K54" s="346"/>
      <c r="L54" s="346"/>
      <c r="M54" s="346"/>
      <c r="N54" s="346"/>
      <c r="O54" s="346"/>
      <c r="P54" s="346"/>
      <c r="Q54" s="346"/>
      <c r="R54" s="346"/>
      <c r="S54" s="346"/>
      <c r="T54" s="346"/>
      <c r="U54" s="346"/>
      <c r="W54" s="259"/>
    </row>
    <row r="55" spans="1:45" ht="15">
      <c r="A55" s="266" t="s">
        <v>88</v>
      </c>
      <c r="B55" s="393">
        <f>-B91</f>
        <v>-514.60104871975273</v>
      </c>
      <c r="C55" s="393">
        <f t="shared" ref="C55:U55" si="16">-C91</f>
        <v>0</v>
      </c>
      <c r="D55" s="393">
        <f t="shared" si="16"/>
        <v>0</v>
      </c>
      <c r="E55" s="393">
        <f t="shared" si="16"/>
        <v>0</v>
      </c>
      <c r="F55" s="393">
        <f t="shared" si="16"/>
        <v>-380.9419169828455</v>
      </c>
      <c r="G55" s="393">
        <f t="shared" si="16"/>
        <v>-917.53410404802241</v>
      </c>
      <c r="H55" s="393">
        <f t="shared" si="16"/>
        <v>-1093.9188220027718</v>
      </c>
      <c r="I55" s="393">
        <f t="shared" si="16"/>
        <v>-1186.118252192852</v>
      </c>
      <c r="J55" s="393">
        <f t="shared" si="16"/>
        <v>-1293.5339794174661</v>
      </c>
      <c r="K55" s="393">
        <f t="shared" si="16"/>
        <v>-1399.1275224575452</v>
      </c>
      <c r="L55" s="393">
        <f t="shared" si="16"/>
        <v>-1532.5923954936045</v>
      </c>
      <c r="M55" s="393">
        <f t="shared" si="16"/>
        <v>-1696.5824460149768</v>
      </c>
      <c r="N55" s="393">
        <f t="shared" si="16"/>
        <v>-1871.5140721680057</v>
      </c>
      <c r="O55" s="393">
        <f t="shared" si="16"/>
        <v>-2040.6213913860624</v>
      </c>
      <c r="P55" s="393">
        <f t="shared" si="16"/>
        <v>-2217.3792919622515</v>
      </c>
      <c r="Q55" s="393">
        <f t="shared" si="16"/>
        <v>-3115.8882691472145</v>
      </c>
      <c r="R55" s="393">
        <f t="shared" si="16"/>
        <v>-4021.1731617358223</v>
      </c>
      <c r="S55" s="393">
        <f t="shared" si="16"/>
        <v>-4182.6773175251647</v>
      </c>
      <c r="T55" s="393">
        <f t="shared" si="16"/>
        <v>-4331.1104447452281</v>
      </c>
      <c r="U55" s="393">
        <f t="shared" si="16"/>
        <v>-4480.2112527532518</v>
      </c>
      <c r="W55" s="177">
        <f>SUM(B55:U55)</f>
        <v>-36275.525688752838</v>
      </c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>
      <c r="A56" s="266" t="s">
        <v>89</v>
      </c>
      <c r="B56" s="356">
        <f>-Allocation!$E$8*Tax!B24</f>
        <v>-2957.2216508516417</v>
      </c>
      <c r="C56" s="356">
        <f>-Allocation!$E$8*Tax!C24</f>
        <v>0</v>
      </c>
      <c r="D56" s="356">
        <f>-Allocation!$E$8*Tax!D24</f>
        <v>0</v>
      </c>
      <c r="E56" s="356">
        <f>-Allocation!$E$8*Tax!E24</f>
        <v>-1753.5291003007262</v>
      </c>
      <c r="F56" s="356">
        <f>-Allocation!$E$8*Tax!F24</f>
        <v>-3921.9394526954898</v>
      </c>
      <c r="G56" s="356">
        <f>-Allocation!$E$8*Tax!G24</f>
        <v>-4952.8337709215739</v>
      </c>
      <c r="H56" s="356">
        <f>-Allocation!$E$8*Tax!H24</f>
        <v>-5662.1033977206171</v>
      </c>
      <c r="I56" s="356">
        <f>-Allocation!$E$8*Tax!I24</f>
        <v>-6031.1731907205904</v>
      </c>
      <c r="J56" s="356">
        <f>-Allocation!$E$8*Tax!J24</f>
        <v>-6478.656649173432</v>
      </c>
      <c r="K56" s="356">
        <f>-Allocation!$E$8*Tax!K24</f>
        <v>-6928.5974156147367</v>
      </c>
      <c r="L56" s="356">
        <f>-Allocation!$E$8*Tax!L24</f>
        <v>-7471.194785649247</v>
      </c>
      <c r="M56" s="356">
        <f>-Allocation!$E$8*Tax!M24</f>
        <v>-8172.5349301429087</v>
      </c>
      <c r="N56" s="356">
        <f>-Allocation!$E$8*Tax!N24</f>
        <v>-8874.3916178222971</v>
      </c>
      <c r="O56" s="356">
        <f>-Allocation!$E$8*Tax!O24</f>
        <v>-9595.8783897240355</v>
      </c>
      <c r="P56" s="356">
        <f>-Allocation!$E$8*Tax!P24</f>
        <v>-10291.516572749184</v>
      </c>
      <c r="Q56" s="356">
        <f>-Allocation!$E$8*Tax!Q24</f>
        <v>-14123.500247767892</v>
      </c>
      <c r="R56" s="356">
        <f>-Allocation!$E$8*Tax!R24</f>
        <v>-17910.247580758205</v>
      </c>
      <c r="S56" s="356">
        <f>-Allocation!$E$8*Tax!S24</f>
        <v>-18628.43882761971</v>
      </c>
      <c r="T56" s="356">
        <f>-Allocation!$E$8*Tax!T24</f>
        <v>-19286.97100470624</v>
      </c>
      <c r="U56" s="356">
        <f>-Allocation!$E$8*Tax!U24</f>
        <v>-19948.094675772834</v>
      </c>
      <c r="W56" s="177">
        <f>SUM(B56:U56)</f>
        <v>-172988.82326071133</v>
      </c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>
      <c r="A57" s="266"/>
      <c r="B57" s="347"/>
      <c r="C57" s="347"/>
      <c r="D57" s="347"/>
      <c r="E57" s="347"/>
      <c r="F57" s="347"/>
      <c r="G57" s="347"/>
      <c r="H57" s="347"/>
      <c r="I57" s="347"/>
      <c r="J57" s="347"/>
      <c r="K57" s="347"/>
      <c r="L57" s="347"/>
      <c r="M57" s="347"/>
      <c r="N57" s="347"/>
      <c r="O57" s="347"/>
      <c r="P57" s="347"/>
      <c r="Q57" s="347"/>
      <c r="R57" s="347"/>
      <c r="S57" s="347"/>
      <c r="T57" s="347"/>
      <c r="U57" s="347"/>
      <c r="W57" s="259"/>
    </row>
    <row r="58" spans="1:45" ht="15.75">
      <c r="A58" s="375" t="s">
        <v>66</v>
      </c>
      <c r="B58" s="358">
        <f t="shared" ref="B58:U58" si="17">B53+B56+B55</f>
        <v>21371.724960330077</v>
      </c>
      <c r="C58" s="358">
        <f t="shared" si="17"/>
        <v>26614.370787874228</v>
      </c>
      <c r="D58" s="358">
        <f t="shared" si="17"/>
        <v>28647.536313652687</v>
      </c>
      <c r="E58" s="358">
        <f t="shared" si="17"/>
        <v>27202.069673044145</v>
      </c>
      <c r="F58" s="358">
        <f t="shared" si="17"/>
        <v>26457.370189407495</v>
      </c>
      <c r="G58" s="358">
        <f t="shared" si="17"/>
        <v>25784.577528905967</v>
      </c>
      <c r="H58" s="358">
        <f t="shared" si="17"/>
        <v>25933.781944817456</v>
      </c>
      <c r="I58" s="358">
        <f t="shared" si="17"/>
        <v>26360.773270611066</v>
      </c>
      <c r="J58" s="358">
        <f t="shared" si="17"/>
        <v>26922.454424298943</v>
      </c>
      <c r="K58" s="358">
        <f t="shared" si="17"/>
        <v>26284.630030185785</v>
      </c>
      <c r="L58" s="358">
        <f t="shared" si="17"/>
        <v>21327.911012381177</v>
      </c>
      <c r="M58" s="358">
        <f t="shared" si="17"/>
        <v>22781.441012183637</v>
      </c>
      <c r="N58" s="358">
        <f t="shared" si="17"/>
        <v>24306.150117383342</v>
      </c>
      <c r="O58" s="358">
        <f t="shared" si="17"/>
        <v>25805.68737284543</v>
      </c>
      <c r="P58" s="358">
        <f t="shared" si="17"/>
        <v>26780.696269568994</v>
      </c>
      <c r="Q58" s="358">
        <f t="shared" si="17"/>
        <v>23696.247949378314</v>
      </c>
      <c r="R58" s="358">
        <f t="shared" si="17"/>
        <v>21324.160152274551</v>
      </c>
      <c r="S58" s="358">
        <f t="shared" si="17"/>
        <v>25011.938313393806</v>
      </c>
      <c r="T58" s="358">
        <f t="shared" si="17"/>
        <v>26272.286758670289</v>
      </c>
      <c r="U58" s="358">
        <f t="shared" si="17"/>
        <v>28697.731235761392</v>
      </c>
      <c r="V58" s="349"/>
      <c r="W58" s="177">
        <f>SUM(B58:U58)</f>
        <v>507583.53931696876</v>
      </c>
    </row>
    <row r="59" spans="1:45" s="307" customFormat="1">
      <c r="A59" s="359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  <c r="U59" s="204"/>
      <c r="V59" s="96"/>
      <c r="W59" s="96"/>
    </row>
    <row r="60" spans="1:45">
      <c r="A60" s="376"/>
      <c r="B60" s="208"/>
      <c r="C60" s="208"/>
      <c r="D60" s="208"/>
      <c r="E60" s="208"/>
      <c r="F60" s="208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  <c r="U60" s="208"/>
    </row>
    <row r="61" spans="1:45">
      <c r="A61" s="394"/>
      <c r="B61" s="395"/>
      <c r="C61" s="395"/>
      <c r="D61" s="395"/>
      <c r="E61" s="395"/>
      <c r="F61" s="395"/>
      <c r="G61" s="395"/>
      <c r="H61" s="395"/>
      <c r="I61" s="395"/>
      <c r="J61" s="395"/>
      <c r="K61" s="395"/>
      <c r="L61" s="208"/>
      <c r="M61" s="208"/>
      <c r="N61" s="208"/>
      <c r="O61" s="208"/>
      <c r="P61" s="208"/>
      <c r="Q61" s="208"/>
      <c r="R61" s="208"/>
      <c r="S61" s="208"/>
      <c r="T61" s="208"/>
      <c r="U61" s="208"/>
    </row>
    <row r="62" spans="1:45" ht="18">
      <c r="A62" s="352" t="s">
        <v>191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45">
      <c r="A63" s="307"/>
      <c r="B63" s="308"/>
      <c r="C63" s="308"/>
      <c r="D63" s="308"/>
      <c r="E63" s="308"/>
      <c r="F63" s="308"/>
      <c r="G63" s="309"/>
      <c r="H63" s="308"/>
      <c r="I63" s="308"/>
      <c r="J63" s="308"/>
      <c r="K63" s="308"/>
      <c r="L63" s="308"/>
      <c r="M63" s="309"/>
      <c r="N63" s="308"/>
      <c r="O63" s="308"/>
      <c r="P63" s="308"/>
      <c r="Q63" s="308"/>
      <c r="R63" s="308"/>
      <c r="S63" s="309"/>
      <c r="T63" s="308"/>
      <c r="U63" s="308"/>
    </row>
    <row r="64" spans="1:45" s="349" customFormat="1" ht="15.75">
      <c r="A64" s="256"/>
      <c r="B64" s="311">
        <v>3</v>
      </c>
      <c r="C64" s="311">
        <v>4</v>
      </c>
      <c r="D64" s="311">
        <v>5</v>
      </c>
      <c r="E64" s="312">
        <v>6</v>
      </c>
      <c r="F64" s="311">
        <v>7</v>
      </c>
      <c r="G64" s="311">
        <v>8</v>
      </c>
      <c r="H64" s="311">
        <v>9</v>
      </c>
      <c r="I64" s="311">
        <v>10</v>
      </c>
      <c r="J64" s="311">
        <v>11</v>
      </c>
      <c r="K64" s="312">
        <v>12</v>
      </c>
      <c r="L64" s="311">
        <v>13</v>
      </c>
      <c r="M64" s="311">
        <v>14</v>
      </c>
      <c r="N64" s="311">
        <v>15</v>
      </c>
      <c r="O64" s="311">
        <v>16</v>
      </c>
      <c r="P64" s="311">
        <v>17</v>
      </c>
      <c r="Q64" s="312">
        <v>18</v>
      </c>
      <c r="R64" s="311">
        <v>19</v>
      </c>
      <c r="S64" s="311">
        <v>20</v>
      </c>
      <c r="T64" s="311">
        <v>21</v>
      </c>
      <c r="U64" s="311">
        <v>22</v>
      </c>
      <c r="V64" s="96"/>
      <c r="W64" s="96"/>
    </row>
    <row r="65" spans="1:45" ht="13.5" thickBot="1">
      <c r="A65" s="162" t="s">
        <v>49</v>
      </c>
      <c r="B65" s="163">
        <v>2001</v>
      </c>
      <c r="C65" s="163">
        <v>2002</v>
      </c>
      <c r="D65" s="163">
        <v>2003</v>
      </c>
      <c r="E65" s="163">
        <v>2004</v>
      </c>
      <c r="F65" s="163">
        <v>2005</v>
      </c>
      <c r="G65" s="163">
        <v>2006</v>
      </c>
      <c r="H65" s="163">
        <v>2007</v>
      </c>
      <c r="I65" s="163">
        <v>2008</v>
      </c>
      <c r="J65" s="163">
        <v>2009</v>
      </c>
      <c r="K65" s="163">
        <v>2010</v>
      </c>
      <c r="L65" s="163">
        <v>2011</v>
      </c>
      <c r="M65" s="163">
        <v>2012</v>
      </c>
      <c r="N65" s="163">
        <v>2013</v>
      </c>
      <c r="O65" s="163">
        <v>2014</v>
      </c>
      <c r="P65" s="163">
        <v>2015</v>
      </c>
      <c r="Q65" s="163">
        <v>2016</v>
      </c>
      <c r="R65" s="163">
        <v>2017</v>
      </c>
      <c r="S65" s="163">
        <v>2018</v>
      </c>
      <c r="T65" s="163">
        <v>2019</v>
      </c>
      <c r="U65" s="163">
        <v>2020</v>
      </c>
    </row>
    <row r="66" spans="1:45">
      <c r="A66" s="256"/>
      <c r="B66" s="314"/>
      <c r="C66" s="164"/>
      <c r="D66" s="164"/>
      <c r="E66" s="164"/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4"/>
      <c r="Q66" s="164"/>
      <c r="R66" s="164"/>
      <c r="S66" s="164"/>
      <c r="T66" s="164"/>
      <c r="U66" s="164"/>
    </row>
    <row r="67" spans="1:45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spans="1:45">
      <c r="A68" s="315" t="s">
        <v>165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spans="1:45">
      <c r="A69" s="396"/>
      <c r="B69" s="4"/>
      <c r="C69" s="4"/>
      <c r="D69" s="397"/>
      <c r="E69" s="397"/>
      <c r="F69" s="397"/>
      <c r="G69" s="397"/>
      <c r="H69" s="397"/>
      <c r="I69" s="397"/>
      <c r="J69" s="397"/>
      <c r="K69" s="397"/>
      <c r="L69" s="397"/>
      <c r="M69" s="397"/>
      <c r="N69" s="397"/>
      <c r="O69" s="397"/>
      <c r="P69" s="397"/>
      <c r="Q69" s="397"/>
      <c r="R69" s="397"/>
      <c r="S69" s="397"/>
      <c r="T69" s="397"/>
      <c r="U69" s="397"/>
      <c r="V69" s="397"/>
      <c r="W69" s="397"/>
    </row>
    <row r="70" spans="1:45">
      <c r="A70" s="38" t="s">
        <v>163</v>
      </c>
      <c r="B70" s="398">
        <f>Allocation!$C$8*'Summary Output'!$C$7</f>
        <v>196161.65259398171</v>
      </c>
      <c r="C70" s="398">
        <f>Allocation!$C$8*'Summary Output'!$C$7</f>
        <v>196161.65259398171</v>
      </c>
      <c r="D70" s="398">
        <f>Allocation!$C$8*'Summary Output'!$C$7</f>
        <v>196161.65259398171</v>
      </c>
      <c r="E70" s="398">
        <f>Allocation!$C$8*'Summary Output'!$C$7</f>
        <v>196161.65259398171</v>
      </c>
      <c r="F70" s="398">
        <f>Allocation!$C$8*'Summary Output'!$C$7</f>
        <v>196161.65259398171</v>
      </c>
      <c r="G70" s="398">
        <f>Allocation!$C$8*'Summary Output'!$C$7</f>
        <v>196161.65259398171</v>
      </c>
      <c r="H70" s="398">
        <f>Allocation!$C$8*'Summary Output'!$C$7</f>
        <v>196161.65259398171</v>
      </c>
      <c r="I70" s="398">
        <f>Allocation!$C$8*'Summary Output'!$C$7</f>
        <v>196161.65259398171</v>
      </c>
      <c r="J70" s="398">
        <f>Allocation!$C$8*'Summary Output'!$C$7</f>
        <v>196161.65259398171</v>
      </c>
      <c r="K70" s="398">
        <f>Allocation!$C$8*'Summary Output'!$C$7</f>
        <v>196161.65259398171</v>
      </c>
      <c r="L70" s="398">
        <f>Allocation!$C$8*'Summary Output'!$C$7</f>
        <v>196161.65259398171</v>
      </c>
      <c r="M70" s="398">
        <f>Allocation!$C$8*'Summary Output'!$C$7</f>
        <v>196161.65259398171</v>
      </c>
      <c r="N70" s="398">
        <f>Allocation!$C$8*'Summary Output'!$C$7</f>
        <v>196161.65259398171</v>
      </c>
      <c r="O70" s="398">
        <f>Allocation!$C$8*'Summary Output'!$C$7</f>
        <v>196161.65259398171</v>
      </c>
      <c r="P70" s="398">
        <f>Allocation!$C$8*'Summary Output'!$C$7</f>
        <v>196161.65259398171</v>
      </c>
      <c r="Q70" s="398">
        <f>Allocation!$C$8*'Summary Output'!$C$7</f>
        <v>196161.65259398171</v>
      </c>
      <c r="R70" s="398">
        <f>Allocation!$C$8*'Summary Output'!$C$7</f>
        <v>196161.65259398171</v>
      </c>
      <c r="S70" s="398">
        <f>Allocation!$C$8*'Summary Output'!$C$7</f>
        <v>196161.65259398171</v>
      </c>
      <c r="T70" s="398">
        <f>Allocation!$C$8*'Summary Output'!$C$7</f>
        <v>196161.65259398171</v>
      </c>
      <c r="U70" s="398">
        <f>Allocation!$C$8*'Summary Output'!$C$7</f>
        <v>196161.65259398171</v>
      </c>
      <c r="V70" s="398"/>
      <c r="W70" s="398"/>
    </row>
    <row r="71" spans="1:45">
      <c r="A71" s="38" t="s">
        <v>166</v>
      </c>
      <c r="B71" s="399">
        <f>Assumptions!E41</f>
        <v>1.5E-3</v>
      </c>
      <c r="C71" s="399">
        <f>Assumptions!$E$42</f>
        <v>1E-3</v>
      </c>
      <c r="D71" s="399">
        <f>Assumptions!$E$42</f>
        <v>1E-3</v>
      </c>
      <c r="E71" s="399">
        <f>Assumptions!$E$42</f>
        <v>1E-3</v>
      </c>
      <c r="F71" s="399">
        <f>Assumptions!$E$42</f>
        <v>1E-3</v>
      </c>
      <c r="G71" s="399">
        <f>Assumptions!$E$42</f>
        <v>1E-3</v>
      </c>
      <c r="H71" s="399">
        <f>Assumptions!$E$42</f>
        <v>1E-3</v>
      </c>
      <c r="I71" s="399">
        <f>Assumptions!$E$42</f>
        <v>1E-3</v>
      </c>
      <c r="J71" s="399">
        <f>Assumptions!$E$42</f>
        <v>1E-3</v>
      </c>
      <c r="K71" s="399">
        <f>Assumptions!$E$42</f>
        <v>1E-3</v>
      </c>
      <c r="L71" s="399">
        <f>Assumptions!$E$42</f>
        <v>1E-3</v>
      </c>
      <c r="M71" s="399">
        <f>Assumptions!$E$42</f>
        <v>1E-3</v>
      </c>
      <c r="N71" s="399">
        <f>Assumptions!$E$42</f>
        <v>1E-3</v>
      </c>
      <c r="O71" s="399">
        <f>Assumptions!$E$42</f>
        <v>1E-3</v>
      </c>
      <c r="P71" s="399">
        <f>Assumptions!$E$42</f>
        <v>1E-3</v>
      </c>
      <c r="Q71" s="399">
        <f>Assumptions!$E$42</f>
        <v>1E-3</v>
      </c>
      <c r="R71" s="399">
        <f>Assumptions!$E$42</f>
        <v>1E-3</v>
      </c>
      <c r="S71" s="399">
        <f>Assumptions!$E$42</f>
        <v>1E-3</v>
      </c>
      <c r="T71" s="399">
        <f>Assumptions!$E$42</f>
        <v>1E-3</v>
      </c>
      <c r="U71" s="399">
        <f>Assumptions!$E$42</f>
        <v>1E-3</v>
      </c>
      <c r="V71" s="399"/>
      <c r="W71" s="399"/>
    </row>
    <row r="72" spans="1:45">
      <c r="A72" s="14" t="s">
        <v>167</v>
      </c>
      <c r="B72" s="400">
        <f>B70*B71</f>
        <v>294.24247889097256</v>
      </c>
      <c r="C72" s="400">
        <f t="shared" ref="C72:U72" si="18">C70*C71</f>
        <v>196.1616525939817</v>
      </c>
      <c r="D72" s="400">
        <f t="shared" si="18"/>
        <v>196.1616525939817</v>
      </c>
      <c r="E72" s="400">
        <f t="shared" si="18"/>
        <v>196.1616525939817</v>
      </c>
      <c r="F72" s="400">
        <f t="shared" si="18"/>
        <v>196.1616525939817</v>
      </c>
      <c r="G72" s="400">
        <f t="shared" si="18"/>
        <v>196.1616525939817</v>
      </c>
      <c r="H72" s="400">
        <f t="shared" si="18"/>
        <v>196.1616525939817</v>
      </c>
      <c r="I72" s="400">
        <f t="shared" si="18"/>
        <v>196.1616525939817</v>
      </c>
      <c r="J72" s="400">
        <f t="shared" si="18"/>
        <v>196.1616525939817</v>
      </c>
      <c r="K72" s="400">
        <f t="shared" si="18"/>
        <v>196.1616525939817</v>
      </c>
      <c r="L72" s="400">
        <f t="shared" si="18"/>
        <v>196.1616525939817</v>
      </c>
      <c r="M72" s="400">
        <f t="shared" si="18"/>
        <v>196.1616525939817</v>
      </c>
      <c r="N72" s="400">
        <f t="shared" si="18"/>
        <v>196.1616525939817</v>
      </c>
      <c r="O72" s="400">
        <f t="shared" si="18"/>
        <v>196.1616525939817</v>
      </c>
      <c r="P72" s="400">
        <f t="shared" si="18"/>
        <v>196.1616525939817</v>
      </c>
      <c r="Q72" s="400">
        <f t="shared" si="18"/>
        <v>196.1616525939817</v>
      </c>
      <c r="R72" s="400">
        <f t="shared" si="18"/>
        <v>196.1616525939817</v>
      </c>
      <c r="S72" s="400">
        <f t="shared" si="18"/>
        <v>196.1616525939817</v>
      </c>
      <c r="T72" s="400">
        <f t="shared" si="18"/>
        <v>196.1616525939817</v>
      </c>
      <c r="U72" s="400">
        <f t="shared" si="18"/>
        <v>196.1616525939817</v>
      </c>
      <c r="V72" s="400"/>
      <c r="W72" s="400"/>
    </row>
    <row r="73" spans="1:45">
      <c r="A73" s="401"/>
      <c r="B73" s="401"/>
      <c r="C73" s="401"/>
      <c r="D73" s="402"/>
      <c r="E73" s="402"/>
      <c r="F73" s="402"/>
      <c r="G73" s="402"/>
      <c r="H73" s="402"/>
      <c r="I73" s="402"/>
      <c r="J73" s="402"/>
      <c r="K73" s="402"/>
      <c r="L73" s="402"/>
      <c r="M73" s="402"/>
      <c r="N73" s="402"/>
      <c r="O73" s="402"/>
      <c r="P73" s="402"/>
      <c r="Q73" s="402"/>
      <c r="R73" s="402"/>
      <c r="S73" s="402"/>
      <c r="T73" s="402"/>
      <c r="U73" s="402"/>
      <c r="V73" s="402"/>
      <c r="W73" s="402"/>
    </row>
    <row r="74" spans="1:45">
      <c r="A74" s="401"/>
      <c r="B74" s="401"/>
      <c r="C74" s="401"/>
      <c r="D74" s="402"/>
      <c r="E74" s="402"/>
      <c r="F74" s="402"/>
      <c r="G74" s="402"/>
      <c r="H74" s="402"/>
      <c r="I74" s="402"/>
      <c r="J74" s="402"/>
      <c r="K74" s="402"/>
      <c r="L74" s="402"/>
      <c r="M74" s="402"/>
      <c r="N74" s="402"/>
      <c r="O74" s="402"/>
      <c r="P74" s="402"/>
      <c r="Q74" s="402"/>
      <c r="R74" s="402"/>
      <c r="S74" s="402"/>
      <c r="T74" s="402"/>
      <c r="U74" s="402"/>
      <c r="V74" s="402"/>
      <c r="W74" s="402"/>
    </row>
    <row r="75" spans="1:45" s="3" customFormat="1">
      <c r="A75" s="315" t="s">
        <v>76</v>
      </c>
      <c r="B75" s="401"/>
      <c r="C75" s="401"/>
      <c r="D75" s="402"/>
      <c r="E75" s="402"/>
      <c r="F75" s="402"/>
      <c r="G75" s="402"/>
      <c r="H75" s="402"/>
      <c r="I75" s="402"/>
      <c r="J75" s="402"/>
      <c r="K75" s="402"/>
      <c r="L75" s="402"/>
      <c r="M75" s="402"/>
      <c r="N75" s="402"/>
      <c r="O75" s="402"/>
      <c r="P75" s="402"/>
      <c r="Q75" s="402"/>
      <c r="R75" s="402"/>
      <c r="S75" s="402"/>
      <c r="T75" s="402"/>
      <c r="U75" s="402"/>
      <c r="V75" s="402"/>
      <c r="W75" s="402"/>
      <c r="X75" s="397"/>
      <c r="Y75" s="397"/>
      <c r="Z75" s="4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</row>
    <row r="76" spans="1:45" s="3" customFormat="1">
      <c r="A76" s="315"/>
      <c r="B76" s="401"/>
      <c r="C76" s="401"/>
      <c r="D76" s="402"/>
      <c r="E76" s="402"/>
      <c r="F76" s="402"/>
      <c r="G76" s="402"/>
      <c r="H76" s="402"/>
      <c r="I76" s="402"/>
      <c r="J76" s="402"/>
      <c r="K76" s="402"/>
      <c r="L76" s="402"/>
      <c r="M76" s="402"/>
      <c r="N76" s="402"/>
      <c r="O76" s="402"/>
      <c r="P76" s="402"/>
      <c r="Q76" s="402"/>
      <c r="R76" s="402"/>
      <c r="S76" s="402"/>
      <c r="T76" s="402"/>
      <c r="U76" s="402"/>
      <c r="V76" s="402"/>
      <c r="W76" s="402"/>
      <c r="X76" s="398"/>
      <c r="Y76" s="398"/>
      <c r="Z76" s="4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</row>
    <row r="77" spans="1:45" s="4" customFormat="1">
      <c r="A77" s="38" t="s">
        <v>235</v>
      </c>
      <c r="B77" s="322">
        <f t="shared" ref="B77:U77" si="19">B33</f>
        <v>14142.386379167436</v>
      </c>
      <c r="C77" s="322">
        <f t="shared" si="19"/>
        <v>16140.109507140192</v>
      </c>
      <c r="D77" s="322">
        <f t="shared" si="19"/>
        <v>18172.975032918657</v>
      </c>
      <c r="E77" s="322">
        <f t="shared" si="19"/>
        <v>20311.441190635858</v>
      </c>
      <c r="F77" s="322">
        <f t="shared" si="19"/>
        <v>22805.062427398003</v>
      </c>
      <c r="G77" s="322">
        <f t="shared" si="19"/>
        <v>24044.040497698326</v>
      </c>
      <c r="H77" s="322">
        <f t="shared" si="19"/>
        <v>25349.73742749654</v>
      </c>
      <c r="I77" s="322">
        <f t="shared" si="19"/>
        <v>26668.728258368446</v>
      </c>
      <c r="J77" s="322">
        <f t="shared" si="19"/>
        <v>28129.89282324438</v>
      </c>
      <c r="K77" s="322">
        <f t="shared" si="19"/>
        <v>29635.431186846065</v>
      </c>
      <c r="L77" s="322">
        <f t="shared" si="19"/>
        <v>31459.397225419001</v>
      </c>
      <c r="M77" s="322">
        <f t="shared" si="19"/>
        <v>33778.257420236485</v>
      </c>
      <c r="N77" s="322">
        <f t="shared" si="19"/>
        <v>36179.7548392686</v>
      </c>
      <c r="O77" s="322">
        <f t="shared" si="19"/>
        <v>38569.88618585049</v>
      </c>
      <c r="P77" s="322">
        <f t="shared" si="19"/>
        <v>40996.819181806844</v>
      </c>
      <c r="Q77" s="322">
        <f t="shared" si="19"/>
        <v>43222.391529451284</v>
      </c>
      <c r="R77" s="322">
        <f t="shared" si="19"/>
        <v>45542.335957926443</v>
      </c>
      <c r="S77" s="322">
        <f t="shared" si="19"/>
        <v>47791.697459170755</v>
      </c>
      <c r="T77" s="322">
        <f t="shared" si="19"/>
        <v>49859.011208753822</v>
      </c>
      <c r="U77" s="322">
        <f t="shared" si="19"/>
        <v>51935.624133656653</v>
      </c>
      <c r="V77" s="96"/>
      <c r="W77" s="361">
        <f>SUM(B77:U77)</f>
        <v>644734.97987245431</v>
      </c>
      <c r="X77" s="399"/>
      <c r="Y77" s="399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</row>
    <row r="78" spans="1:45" s="4" customFormat="1">
      <c r="A78" s="38" t="s">
        <v>119</v>
      </c>
      <c r="B78" s="322">
        <f>B27</f>
        <v>10462.861280734036</v>
      </c>
      <c r="C78" s="322">
        <f t="shared" ref="C78:U78" si="20">C27</f>
        <v>10462.861280734036</v>
      </c>
      <c r="D78" s="322">
        <f t="shared" si="20"/>
        <v>10462.861280734036</v>
      </c>
      <c r="E78" s="322">
        <f t="shared" si="20"/>
        <v>10462.861280734036</v>
      </c>
      <c r="F78" s="322">
        <f t="shared" si="20"/>
        <v>10462.861280734036</v>
      </c>
      <c r="G78" s="322">
        <f t="shared" si="20"/>
        <v>10462.861280734036</v>
      </c>
      <c r="H78" s="322">
        <f t="shared" si="20"/>
        <v>10462.861280734036</v>
      </c>
      <c r="I78" s="322">
        <f t="shared" si="20"/>
        <v>10462.861280734036</v>
      </c>
      <c r="J78" s="322">
        <f t="shared" si="20"/>
        <v>10462.861280734036</v>
      </c>
      <c r="K78" s="322">
        <f t="shared" si="20"/>
        <v>10462.861280734036</v>
      </c>
      <c r="L78" s="322">
        <f t="shared" si="20"/>
        <v>10462.861280734036</v>
      </c>
      <c r="M78" s="322">
        <f t="shared" si="20"/>
        <v>10462.861280734036</v>
      </c>
      <c r="N78" s="322">
        <f t="shared" si="20"/>
        <v>10462.861280734036</v>
      </c>
      <c r="O78" s="322">
        <f t="shared" si="20"/>
        <v>10462.861280734036</v>
      </c>
      <c r="P78" s="322">
        <f t="shared" si="20"/>
        <v>10462.861280734036</v>
      </c>
      <c r="Q78" s="322">
        <f t="shared" si="20"/>
        <v>10462.861280734036</v>
      </c>
      <c r="R78" s="322">
        <f t="shared" si="20"/>
        <v>10462.861280734036</v>
      </c>
      <c r="S78" s="322">
        <f t="shared" si="20"/>
        <v>10462.861280734036</v>
      </c>
      <c r="T78" s="322">
        <f t="shared" si="20"/>
        <v>10462.861280734036</v>
      </c>
      <c r="U78" s="322">
        <f t="shared" si="20"/>
        <v>10462.861280734036</v>
      </c>
      <c r="V78" s="96"/>
      <c r="W78" s="361">
        <f>SUM(B78:U78)</f>
        <v>209257.22561468076</v>
      </c>
      <c r="X78" s="400"/>
      <c r="Y78" s="400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 spans="1:45" s="4" customFormat="1" ht="15">
      <c r="A79" s="38" t="s">
        <v>178</v>
      </c>
      <c r="B79" s="369">
        <f>-Depreciation!C57</f>
        <v>-17438.102134556724</v>
      </c>
      <c r="C79" s="369">
        <f>-Depreciation!D57</f>
        <v>-33132.39405565778</v>
      </c>
      <c r="D79" s="369">
        <f>-Depreciation!E57</f>
        <v>-29819.154650092001</v>
      </c>
      <c r="E79" s="369">
        <f>-Depreciation!F57</f>
        <v>-26854.677287217357</v>
      </c>
      <c r="F79" s="369">
        <f>-Depreciation!G57</f>
        <v>-24169.209558495622</v>
      </c>
      <c r="G79" s="369">
        <f>-Depreciation!H57</f>
        <v>-21727.875259657681</v>
      </c>
      <c r="H79" s="369">
        <f>-Depreciation!I57</f>
        <v>-20576.960518776934</v>
      </c>
      <c r="I79" s="369">
        <f>-Depreciation!J57</f>
        <v>-20611.83672304605</v>
      </c>
      <c r="J79" s="369">
        <f>-Depreciation!K57</f>
        <v>-20576.960518776934</v>
      </c>
      <c r="K79" s="369">
        <f>-Depreciation!L57</f>
        <v>-20611.83672304605</v>
      </c>
      <c r="L79" s="369">
        <f>-Depreciation!M57</f>
        <v>-20576.960518776934</v>
      </c>
      <c r="M79" s="369">
        <f>-Depreciation!N57</f>
        <v>-20611.83672304605</v>
      </c>
      <c r="N79" s="369">
        <f>-Depreciation!O57</f>
        <v>-20576.960518776934</v>
      </c>
      <c r="O79" s="369">
        <f>-Depreciation!P57</f>
        <v>-20611.83672304605</v>
      </c>
      <c r="P79" s="369">
        <f>-Depreciation!Q57</f>
        <v>-20576.960518776934</v>
      </c>
      <c r="Q79" s="369">
        <f>-Depreciation!R57</f>
        <v>-10288.480259388467</v>
      </c>
      <c r="R79" s="369">
        <f>-Depreciation!S57</f>
        <v>0</v>
      </c>
      <c r="S79" s="369">
        <f>-Depreciation!T57</f>
        <v>0</v>
      </c>
      <c r="T79" s="369">
        <f>-Depreciation!U57</f>
        <v>0</v>
      </c>
      <c r="U79" s="369">
        <f>-Depreciation!V57</f>
        <v>0</v>
      </c>
      <c r="V79" s="96"/>
      <c r="W79" s="370">
        <f>SUM(B79:U79)</f>
        <v>-348762.0426911345</v>
      </c>
      <c r="X79" s="402"/>
      <c r="Y79" s="40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</row>
    <row r="80" spans="1:45" s="4" customFormat="1">
      <c r="A80" s="327" t="s">
        <v>118</v>
      </c>
      <c r="B80" s="267">
        <f t="shared" ref="B80:U80" si="21">SUM(B77:B79)</f>
        <v>7167.1455253447457</v>
      </c>
      <c r="C80" s="267">
        <f t="shared" si="21"/>
        <v>-6529.4232677835535</v>
      </c>
      <c r="D80" s="267">
        <f t="shared" si="21"/>
        <v>-1183.318336439308</v>
      </c>
      <c r="E80" s="267">
        <f t="shared" si="21"/>
        <v>3919.6251841525373</v>
      </c>
      <c r="F80" s="267">
        <f t="shared" si="21"/>
        <v>9098.7141496364166</v>
      </c>
      <c r="G80" s="267">
        <f t="shared" si="21"/>
        <v>12779.026518774685</v>
      </c>
      <c r="H80" s="267">
        <f t="shared" si="21"/>
        <v>15235.638189453646</v>
      </c>
      <c r="I80" s="267">
        <f t="shared" si="21"/>
        <v>16519.752816056432</v>
      </c>
      <c r="J80" s="267">
        <f t="shared" si="21"/>
        <v>18015.793585201478</v>
      </c>
      <c r="K80" s="267">
        <f t="shared" si="21"/>
        <v>19486.455744534054</v>
      </c>
      <c r="L80" s="267">
        <f t="shared" si="21"/>
        <v>21345.297987376107</v>
      </c>
      <c r="M80" s="267">
        <f t="shared" si="21"/>
        <v>23629.281977924467</v>
      </c>
      <c r="N80" s="267">
        <f t="shared" si="21"/>
        <v>26065.655601225706</v>
      </c>
      <c r="O80" s="267">
        <f t="shared" si="21"/>
        <v>28420.910743538472</v>
      </c>
      <c r="P80" s="267">
        <f t="shared" si="21"/>
        <v>30882.71994376395</v>
      </c>
      <c r="Q80" s="267">
        <f t="shared" si="21"/>
        <v>43396.772550796857</v>
      </c>
      <c r="R80" s="267">
        <f t="shared" si="21"/>
        <v>56005.197238660476</v>
      </c>
      <c r="S80" s="267">
        <f t="shared" si="21"/>
        <v>58254.558739904794</v>
      </c>
      <c r="T80" s="267">
        <f t="shared" si="21"/>
        <v>60321.872489487854</v>
      </c>
      <c r="U80" s="267">
        <f t="shared" si="21"/>
        <v>62398.485414390685</v>
      </c>
      <c r="V80" s="96"/>
      <c r="W80" s="361">
        <f>SUM(B80:U80)</f>
        <v>505230.16279600048</v>
      </c>
      <c r="X80" s="402"/>
      <c r="Y80" s="40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</row>
    <row r="81" spans="1:45" s="4" customFormat="1">
      <c r="A81" s="38"/>
      <c r="B81" s="267"/>
      <c r="C81" s="267"/>
      <c r="D81" s="267"/>
      <c r="E81" s="267"/>
      <c r="F81" s="267"/>
      <c r="G81" s="267"/>
      <c r="H81" s="267"/>
      <c r="I81" s="267"/>
      <c r="J81" s="267"/>
      <c r="K81" s="267"/>
      <c r="L81" s="267"/>
      <c r="M81" s="267"/>
      <c r="N81" s="267"/>
      <c r="O81" s="267"/>
      <c r="P81" s="267"/>
      <c r="Q81" s="267"/>
      <c r="R81" s="267"/>
      <c r="S81" s="267"/>
      <c r="T81" s="267"/>
      <c r="U81" s="267"/>
      <c r="V81" s="96"/>
      <c r="W81" s="96"/>
      <c r="X81" s="402"/>
      <c r="Y81" s="40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</row>
    <row r="82" spans="1:45" s="4" customFormat="1">
      <c r="A82" s="38" t="s">
        <v>35</v>
      </c>
      <c r="B82" s="371">
        <f>Assumptions!$E$38</f>
        <v>7.1800000000000003E-2</v>
      </c>
      <c r="C82" s="371">
        <f>Assumptions!$E$38</f>
        <v>7.1800000000000003E-2</v>
      </c>
      <c r="D82" s="371">
        <f>Assumptions!$E$38</f>
        <v>7.1800000000000003E-2</v>
      </c>
      <c r="E82" s="371">
        <f>Assumptions!$E$38</f>
        <v>7.1800000000000003E-2</v>
      </c>
      <c r="F82" s="371">
        <f>Assumptions!$E$38</f>
        <v>7.1800000000000003E-2</v>
      </c>
      <c r="G82" s="371">
        <f>Assumptions!$E$38</f>
        <v>7.1800000000000003E-2</v>
      </c>
      <c r="H82" s="371">
        <f>Assumptions!$E$38</f>
        <v>7.1800000000000003E-2</v>
      </c>
      <c r="I82" s="371">
        <f>Assumptions!$E$38</f>
        <v>7.1800000000000003E-2</v>
      </c>
      <c r="J82" s="371">
        <f>Assumptions!$E$38</f>
        <v>7.1800000000000003E-2</v>
      </c>
      <c r="K82" s="371">
        <f>Assumptions!$E$38</f>
        <v>7.1800000000000003E-2</v>
      </c>
      <c r="L82" s="371">
        <f>Assumptions!$E$38</f>
        <v>7.1800000000000003E-2</v>
      </c>
      <c r="M82" s="371">
        <f>Assumptions!$E$38</f>
        <v>7.1800000000000003E-2</v>
      </c>
      <c r="N82" s="371">
        <f>Assumptions!$E$38</f>
        <v>7.1800000000000003E-2</v>
      </c>
      <c r="O82" s="371">
        <f>Assumptions!$E$38</f>
        <v>7.1800000000000003E-2</v>
      </c>
      <c r="P82" s="371">
        <f>Assumptions!$E$38</f>
        <v>7.1800000000000003E-2</v>
      </c>
      <c r="Q82" s="371">
        <f>Assumptions!$E$38</f>
        <v>7.1800000000000003E-2</v>
      </c>
      <c r="R82" s="371">
        <f>Assumptions!$E$38</f>
        <v>7.1800000000000003E-2</v>
      </c>
      <c r="S82" s="371">
        <f>Assumptions!$E$38</f>
        <v>7.1800000000000003E-2</v>
      </c>
      <c r="T82" s="371">
        <f>Assumptions!$E$38</f>
        <v>7.1800000000000003E-2</v>
      </c>
      <c r="U82" s="371">
        <f>Assumptions!$E$38</f>
        <v>7.1800000000000003E-2</v>
      </c>
      <c r="V82" s="96"/>
      <c r="W82" s="96"/>
      <c r="X82" s="402"/>
      <c r="Y82" s="40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</row>
    <row r="83" spans="1:45">
      <c r="A83" s="38" t="s">
        <v>120</v>
      </c>
      <c r="B83" s="322">
        <f>B80*B82</f>
        <v>514.60104871975273</v>
      </c>
      <c r="C83" s="322">
        <f t="shared" ref="C83:U83" si="22">C80*C82</f>
        <v>-468.81259062685916</v>
      </c>
      <c r="D83" s="322">
        <f t="shared" si="22"/>
        <v>-84.962256556342325</v>
      </c>
      <c r="E83" s="322">
        <f t="shared" si="22"/>
        <v>281.42908822215219</v>
      </c>
      <c r="F83" s="322">
        <f t="shared" si="22"/>
        <v>653.28767594389478</v>
      </c>
      <c r="G83" s="322">
        <f t="shared" si="22"/>
        <v>917.53410404802241</v>
      </c>
      <c r="H83" s="322">
        <f t="shared" si="22"/>
        <v>1093.9188220027718</v>
      </c>
      <c r="I83" s="322">
        <f t="shared" si="22"/>
        <v>1186.118252192852</v>
      </c>
      <c r="J83" s="322">
        <f t="shared" si="22"/>
        <v>1293.5339794174661</v>
      </c>
      <c r="K83" s="322">
        <f t="shared" si="22"/>
        <v>1399.1275224575452</v>
      </c>
      <c r="L83" s="322">
        <f t="shared" si="22"/>
        <v>1532.5923954936045</v>
      </c>
      <c r="M83" s="322">
        <f t="shared" si="22"/>
        <v>1696.5824460149768</v>
      </c>
      <c r="N83" s="322">
        <f t="shared" si="22"/>
        <v>1871.5140721680057</v>
      </c>
      <c r="O83" s="322">
        <f t="shared" si="22"/>
        <v>2040.6213913860624</v>
      </c>
      <c r="P83" s="322">
        <f t="shared" si="22"/>
        <v>2217.3792919622515</v>
      </c>
      <c r="Q83" s="322">
        <f t="shared" si="22"/>
        <v>3115.8882691472145</v>
      </c>
      <c r="R83" s="322">
        <f t="shared" si="22"/>
        <v>4021.1731617358223</v>
      </c>
      <c r="S83" s="322">
        <f t="shared" si="22"/>
        <v>4182.6773175251647</v>
      </c>
      <c r="T83" s="322">
        <f t="shared" si="22"/>
        <v>4331.1104447452281</v>
      </c>
      <c r="U83" s="322">
        <f t="shared" si="22"/>
        <v>4480.2112527532518</v>
      </c>
    </row>
    <row r="84" spans="1:45">
      <c r="A84" s="38"/>
      <c r="B84" s="267"/>
      <c r="C84" s="267"/>
      <c r="D84" s="267"/>
      <c r="E84" s="267"/>
      <c r="F84" s="267"/>
      <c r="G84" s="267"/>
      <c r="H84" s="267"/>
      <c r="I84" s="267"/>
      <c r="J84" s="267"/>
      <c r="K84" s="267"/>
      <c r="L84" s="267"/>
      <c r="M84" s="267"/>
      <c r="N84" s="267"/>
      <c r="O84" s="267"/>
      <c r="P84" s="267"/>
      <c r="Q84" s="267"/>
      <c r="R84" s="267"/>
      <c r="S84" s="267"/>
      <c r="T84" s="267"/>
      <c r="U84" s="267"/>
    </row>
    <row r="85" spans="1:45">
      <c r="A85" s="38" t="s">
        <v>121</v>
      </c>
      <c r="B85" s="322">
        <v>0</v>
      </c>
      <c r="C85" s="322">
        <f t="shared" ref="C85:U85" si="23">B89</f>
        <v>0</v>
      </c>
      <c r="D85" s="322">
        <f t="shared" si="23"/>
        <v>468.81259062685916</v>
      </c>
      <c r="E85" s="322">
        <f t="shared" si="23"/>
        <v>553.77484718320147</v>
      </c>
      <c r="F85" s="322">
        <f t="shared" si="23"/>
        <v>272.34575896104928</v>
      </c>
      <c r="G85" s="322">
        <f t="shared" si="23"/>
        <v>0</v>
      </c>
      <c r="H85" s="322">
        <f t="shared" si="23"/>
        <v>0</v>
      </c>
      <c r="I85" s="322">
        <f t="shared" si="23"/>
        <v>0</v>
      </c>
      <c r="J85" s="322">
        <f t="shared" si="23"/>
        <v>0</v>
      </c>
      <c r="K85" s="322">
        <f t="shared" si="23"/>
        <v>0</v>
      </c>
      <c r="L85" s="322">
        <f t="shared" si="23"/>
        <v>0</v>
      </c>
      <c r="M85" s="322">
        <f t="shared" si="23"/>
        <v>0</v>
      </c>
      <c r="N85" s="322">
        <f>M89</f>
        <v>0</v>
      </c>
      <c r="O85" s="322">
        <f t="shared" si="23"/>
        <v>0</v>
      </c>
      <c r="P85" s="322">
        <f t="shared" si="23"/>
        <v>0</v>
      </c>
      <c r="Q85" s="322">
        <f t="shared" si="23"/>
        <v>0</v>
      </c>
      <c r="R85" s="322">
        <v>0</v>
      </c>
      <c r="S85" s="322">
        <f t="shared" si="23"/>
        <v>0</v>
      </c>
      <c r="T85" s="322">
        <f t="shared" si="23"/>
        <v>0</v>
      </c>
      <c r="U85" s="322">
        <f t="shared" si="23"/>
        <v>0</v>
      </c>
    </row>
    <row r="86" spans="1:45">
      <c r="A86" s="38" t="s">
        <v>122</v>
      </c>
      <c r="B86" s="332">
        <f t="shared" ref="B86:U86" si="24">IF(B62&gt;2020,0,IF(B83&lt;0,-B83,0))</f>
        <v>0</v>
      </c>
      <c r="C86" s="332">
        <f t="shared" si="24"/>
        <v>468.81259062685916</v>
      </c>
      <c r="D86" s="332">
        <f t="shared" si="24"/>
        <v>84.962256556342325</v>
      </c>
      <c r="E86" s="332">
        <f t="shared" si="24"/>
        <v>0</v>
      </c>
      <c r="F86" s="332">
        <f t="shared" si="24"/>
        <v>0</v>
      </c>
      <c r="G86" s="332">
        <f t="shared" si="24"/>
        <v>0</v>
      </c>
      <c r="H86" s="332">
        <f t="shared" si="24"/>
        <v>0</v>
      </c>
      <c r="I86" s="332">
        <f t="shared" si="24"/>
        <v>0</v>
      </c>
      <c r="J86" s="332">
        <f t="shared" si="24"/>
        <v>0</v>
      </c>
      <c r="K86" s="332">
        <f t="shared" si="24"/>
        <v>0</v>
      </c>
      <c r="L86" s="332">
        <f t="shared" si="24"/>
        <v>0</v>
      </c>
      <c r="M86" s="332">
        <f t="shared" si="24"/>
        <v>0</v>
      </c>
      <c r="N86" s="332">
        <f t="shared" si="24"/>
        <v>0</v>
      </c>
      <c r="O86" s="332">
        <f t="shared" si="24"/>
        <v>0</v>
      </c>
      <c r="P86" s="332">
        <f t="shared" si="24"/>
        <v>0</v>
      </c>
      <c r="Q86" s="332">
        <f t="shared" si="24"/>
        <v>0</v>
      </c>
      <c r="R86" s="332">
        <f t="shared" si="24"/>
        <v>0</v>
      </c>
      <c r="S86" s="332">
        <f t="shared" si="24"/>
        <v>0</v>
      </c>
      <c r="T86" s="332">
        <f t="shared" si="24"/>
        <v>0</v>
      </c>
      <c r="U86" s="332">
        <f t="shared" si="24"/>
        <v>0</v>
      </c>
    </row>
    <row r="87" spans="1:45">
      <c r="A87" s="38" t="s">
        <v>123</v>
      </c>
      <c r="B87" s="372">
        <v>0</v>
      </c>
      <c r="C87" s="372">
        <v>0</v>
      </c>
      <c r="D87" s="372">
        <v>0</v>
      </c>
      <c r="E87" s="372">
        <v>0</v>
      </c>
      <c r="F87" s="372">
        <v>0</v>
      </c>
      <c r="G87" s="372">
        <v>0</v>
      </c>
      <c r="H87" s="372">
        <v>0</v>
      </c>
      <c r="I87" s="372">
        <v>0</v>
      </c>
      <c r="J87" s="372">
        <v>0</v>
      </c>
      <c r="K87" s="372">
        <v>0</v>
      </c>
      <c r="L87" s="372">
        <v>0</v>
      </c>
      <c r="M87" s="372">
        <v>0</v>
      </c>
      <c r="N87" s="372">
        <v>0</v>
      </c>
      <c r="O87" s="372">
        <v>0</v>
      </c>
      <c r="P87" s="372">
        <v>0</v>
      </c>
      <c r="Q87" s="372">
        <v>0</v>
      </c>
      <c r="R87" s="372">
        <v>0</v>
      </c>
      <c r="S87" s="372">
        <v>0</v>
      </c>
      <c r="T87" s="322">
        <f>IF(L86&gt;(SUM(M88:S88)+SUM(L87:S87))*-1,L86-(SUM(L88:S88)+SUM(L87:S87))*-1,0)</f>
        <v>0</v>
      </c>
      <c r="U87" s="322">
        <f>IF(M86&gt;(SUM(N88:T88)+SUM(M87:T87))*-1,M86-(SUM(M88:T88)+SUM(M87:T87))*-1,0)</f>
        <v>0</v>
      </c>
    </row>
    <row r="88" spans="1:45">
      <c r="A88" s="9" t="s">
        <v>124</v>
      </c>
      <c r="B88" s="373">
        <f t="shared" ref="B88:T88" si="25">IF(B83&lt;0,0,IF(B85&gt;B83,-B83,-B85))</f>
        <v>0</v>
      </c>
      <c r="C88" s="373">
        <f t="shared" si="25"/>
        <v>0</v>
      </c>
      <c r="D88" s="373">
        <f t="shared" si="25"/>
        <v>0</v>
      </c>
      <c r="E88" s="373">
        <f t="shared" si="25"/>
        <v>-281.42908822215219</v>
      </c>
      <c r="F88" s="373">
        <f t="shared" si="25"/>
        <v>-272.34575896104928</v>
      </c>
      <c r="G88" s="373">
        <f t="shared" si="25"/>
        <v>0</v>
      </c>
      <c r="H88" s="373">
        <f t="shared" si="25"/>
        <v>0</v>
      </c>
      <c r="I88" s="373">
        <f t="shared" si="25"/>
        <v>0</v>
      </c>
      <c r="J88" s="373">
        <f t="shared" si="25"/>
        <v>0</v>
      </c>
      <c r="K88" s="373">
        <f t="shared" si="25"/>
        <v>0</v>
      </c>
      <c r="L88" s="373">
        <f t="shared" si="25"/>
        <v>0</v>
      </c>
      <c r="M88" s="373">
        <f t="shared" si="25"/>
        <v>0</v>
      </c>
      <c r="N88" s="373">
        <f t="shared" si="25"/>
        <v>0</v>
      </c>
      <c r="O88" s="373">
        <f t="shared" si="25"/>
        <v>0</v>
      </c>
      <c r="P88" s="373">
        <f t="shared" si="25"/>
        <v>0</v>
      </c>
      <c r="Q88" s="373">
        <f t="shared" si="25"/>
        <v>0</v>
      </c>
      <c r="R88" s="373">
        <f t="shared" si="25"/>
        <v>0</v>
      </c>
      <c r="S88" s="373">
        <f t="shared" si="25"/>
        <v>0</v>
      </c>
      <c r="T88" s="373">
        <f t="shared" si="25"/>
        <v>0</v>
      </c>
      <c r="U88" s="373">
        <f>IF(U83&lt;0,0,IF(U85&gt;U83,-U83,-U85))</f>
        <v>0</v>
      </c>
    </row>
    <row r="89" spans="1:45">
      <c r="A89" s="9" t="s">
        <v>125</v>
      </c>
      <c r="B89" s="373">
        <f t="shared" ref="B89:U89" si="26">SUM(B85:B88)</f>
        <v>0</v>
      </c>
      <c r="C89" s="373">
        <f t="shared" si="26"/>
        <v>468.81259062685916</v>
      </c>
      <c r="D89" s="373">
        <f t="shared" si="26"/>
        <v>553.77484718320147</v>
      </c>
      <c r="E89" s="373">
        <f t="shared" si="26"/>
        <v>272.34575896104928</v>
      </c>
      <c r="F89" s="373">
        <f t="shared" si="26"/>
        <v>0</v>
      </c>
      <c r="G89" s="373">
        <f t="shared" si="26"/>
        <v>0</v>
      </c>
      <c r="H89" s="373">
        <f t="shared" si="26"/>
        <v>0</v>
      </c>
      <c r="I89" s="373">
        <f t="shared" si="26"/>
        <v>0</v>
      </c>
      <c r="J89" s="373">
        <f t="shared" si="26"/>
        <v>0</v>
      </c>
      <c r="K89" s="373">
        <f t="shared" si="26"/>
        <v>0</v>
      </c>
      <c r="L89" s="373">
        <f t="shared" si="26"/>
        <v>0</v>
      </c>
      <c r="M89" s="373">
        <f t="shared" si="26"/>
        <v>0</v>
      </c>
      <c r="N89" s="373">
        <f t="shared" si="26"/>
        <v>0</v>
      </c>
      <c r="O89" s="373">
        <f t="shared" si="26"/>
        <v>0</v>
      </c>
      <c r="P89" s="373">
        <f t="shared" si="26"/>
        <v>0</v>
      </c>
      <c r="Q89" s="373">
        <f t="shared" si="26"/>
        <v>0</v>
      </c>
      <c r="R89" s="373">
        <f t="shared" si="26"/>
        <v>0</v>
      </c>
      <c r="S89" s="373">
        <f t="shared" si="26"/>
        <v>0</v>
      </c>
      <c r="T89" s="373">
        <f t="shared" si="26"/>
        <v>0</v>
      </c>
      <c r="U89" s="373">
        <f t="shared" si="26"/>
        <v>0</v>
      </c>
    </row>
    <row r="90" spans="1:45">
      <c r="A90" s="9"/>
      <c r="B90" s="267"/>
      <c r="C90" s="267"/>
      <c r="D90" s="267"/>
      <c r="E90" s="267"/>
      <c r="F90" s="267"/>
      <c r="G90" s="267"/>
      <c r="H90" s="267"/>
      <c r="I90" s="267"/>
      <c r="J90" s="267"/>
      <c r="K90" s="267"/>
      <c r="L90" s="267"/>
      <c r="M90" s="267"/>
      <c r="N90" s="267"/>
      <c r="O90" s="267"/>
      <c r="P90" s="267"/>
      <c r="Q90" s="267"/>
      <c r="R90" s="267"/>
      <c r="S90" s="267"/>
      <c r="T90" s="267"/>
      <c r="U90" s="267"/>
    </row>
    <row r="91" spans="1:45" ht="13.5" thickBot="1">
      <c r="A91" s="14" t="s">
        <v>117</v>
      </c>
      <c r="B91" s="317">
        <f t="shared" ref="B91:U91" si="27">IF(B83&lt;0,0,B83+B88)</f>
        <v>514.60104871975273</v>
      </c>
      <c r="C91" s="317">
        <f t="shared" si="27"/>
        <v>0</v>
      </c>
      <c r="D91" s="317">
        <f t="shared" si="27"/>
        <v>0</v>
      </c>
      <c r="E91" s="317">
        <f t="shared" si="27"/>
        <v>0</v>
      </c>
      <c r="F91" s="317">
        <f t="shared" si="27"/>
        <v>380.9419169828455</v>
      </c>
      <c r="G91" s="317">
        <f t="shared" si="27"/>
        <v>917.53410404802241</v>
      </c>
      <c r="H91" s="317">
        <f t="shared" si="27"/>
        <v>1093.9188220027718</v>
      </c>
      <c r="I91" s="317">
        <f t="shared" si="27"/>
        <v>1186.118252192852</v>
      </c>
      <c r="J91" s="317">
        <f t="shared" si="27"/>
        <v>1293.5339794174661</v>
      </c>
      <c r="K91" s="317">
        <f t="shared" si="27"/>
        <v>1399.1275224575452</v>
      </c>
      <c r="L91" s="317">
        <f t="shared" si="27"/>
        <v>1532.5923954936045</v>
      </c>
      <c r="M91" s="317">
        <f t="shared" si="27"/>
        <v>1696.5824460149768</v>
      </c>
      <c r="N91" s="317">
        <f t="shared" si="27"/>
        <v>1871.5140721680057</v>
      </c>
      <c r="O91" s="317">
        <f t="shared" si="27"/>
        <v>2040.6213913860624</v>
      </c>
      <c r="P91" s="317">
        <f t="shared" si="27"/>
        <v>2217.3792919622515</v>
      </c>
      <c r="Q91" s="317">
        <f t="shared" si="27"/>
        <v>3115.8882691472145</v>
      </c>
      <c r="R91" s="317">
        <f t="shared" si="27"/>
        <v>4021.1731617358223</v>
      </c>
      <c r="S91" s="317">
        <f t="shared" si="27"/>
        <v>4182.6773175251647</v>
      </c>
      <c r="T91" s="317">
        <f t="shared" si="27"/>
        <v>4331.1104447452281</v>
      </c>
      <c r="U91" s="317">
        <f t="shared" si="27"/>
        <v>4480.2112527532518</v>
      </c>
      <c r="W91" s="361">
        <f>SUM(B91:U91)</f>
        <v>36275.525688752838</v>
      </c>
    </row>
  </sheetData>
  <pageMargins left="0.75" right="0.75" top="1" bottom="1" header="0.5" footer="0.5"/>
  <pageSetup scale="38" orientation="landscape" r:id="rId1"/>
  <headerFooter alignWithMargins="0">
    <oddHeader>&amp;L&amp;12Enron's Generation&amp;RCONFIDENTIAL</oddHeader>
    <oddFooter>&amp;L&amp;D&amp;C&amp;F&amp;RPage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2:E11"/>
  <sheetViews>
    <sheetView tabSelected="1" zoomScaleNormal="75" workbookViewId="0"/>
  </sheetViews>
  <sheetFormatPr defaultRowHeight="12.75"/>
  <cols>
    <col min="1" max="1" width="21.28515625" style="5" bestFit="1" customWidth="1"/>
    <col min="2" max="2" width="4" style="5" customWidth="1"/>
    <col min="3" max="3" width="17.28515625" style="5" bestFit="1" customWidth="1"/>
    <col min="4" max="4" width="3.5703125" style="5" customWidth="1"/>
    <col min="5" max="5" width="13.7109375" style="5" bestFit="1" customWidth="1"/>
    <col min="6" max="16384" width="9.140625" style="5"/>
  </cols>
  <sheetData>
    <row r="2" spans="1:5" ht="18">
      <c r="A2" s="383" t="s">
        <v>82</v>
      </c>
    </row>
    <row r="3" spans="1:5" ht="15.75">
      <c r="A3" s="384"/>
    </row>
    <row r="4" spans="1:5">
      <c r="A4" s="385" t="s">
        <v>83</v>
      </c>
      <c r="B4" s="107"/>
      <c r="C4" s="385" t="s">
        <v>145</v>
      </c>
      <c r="D4" s="107"/>
      <c r="E4" s="385" t="s">
        <v>148</v>
      </c>
    </row>
    <row r="6" spans="1:5">
      <c r="A6" s="26" t="s">
        <v>91</v>
      </c>
      <c r="C6" s="413">
        <v>0.29520493370916046</v>
      </c>
      <c r="E6" s="374">
        <v>0.30711509328581132</v>
      </c>
    </row>
    <row r="7" spans="1:5">
      <c r="A7" s="26" t="s">
        <v>8</v>
      </c>
      <c r="C7" s="413">
        <v>0.2700361201451052</v>
      </c>
      <c r="E7" s="374">
        <v>0.30131192317942507</v>
      </c>
    </row>
    <row r="8" spans="1:5">
      <c r="A8" s="200" t="s">
        <v>9</v>
      </c>
      <c r="C8" s="386">
        <v>0.43475894614573446</v>
      </c>
      <c r="E8" s="386">
        <v>0.39157298353476361</v>
      </c>
    </row>
    <row r="9" spans="1:5">
      <c r="A9" s="200"/>
      <c r="C9" s="387"/>
      <c r="E9" s="387"/>
    </row>
    <row r="10" spans="1:5" ht="13.5" thickBot="1">
      <c r="A10" s="388" t="s">
        <v>16</v>
      </c>
      <c r="B10" s="389"/>
      <c r="C10" s="390">
        <f>SUM(C6:C8)</f>
        <v>1</v>
      </c>
      <c r="D10" s="389"/>
      <c r="E10" s="390">
        <f>SUM(E6:E8)</f>
        <v>1</v>
      </c>
    </row>
    <row r="11" spans="1:5" ht="13.5" thickTop="1"/>
  </sheetData>
  <pageMargins left="0.75" right="0.75" top="1" bottom="1" header="0.5" footer="0.5"/>
  <pageSetup orientation="landscape" r:id="rId1"/>
  <headerFooter alignWithMargins="0">
    <oddHeader>&amp;L&amp;12Enron's Generation&amp;RCONFIDENTIAL</oddHeader>
    <oddFooter>&amp;L&amp;D&amp;C&amp;F&amp;RPage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2:G42"/>
  <sheetViews>
    <sheetView zoomScaleNormal="75" workbookViewId="0"/>
  </sheetViews>
  <sheetFormatPr defaultRowHeight="12.75"/>
  <cols>
    <col min="1" max="1" width="36.28515625" style="5" customWidth="1"/>
    <col min="2" max="2" width="2.7109375" style="5" customWidth="1"/>
    <col min="3" max="3" width="9.85546875" style="5" bestFit="1" customWidth="1"/>
    <col min="4" max="4" width="12.5703125" style="5" bestFit="1" customWidth="1"/>
    <col min="5" max="5" width="10.42578125" style="5" bestFit="1" customWidth="1"/>
    <col min="6" max="6" width="2.7109375" style="5" customWidth="1"/>
    <col min="7" max="7" width="7.28515625" style="5" bestFit="1" customWidth="1"/>
    <col min="8" max="16384" width="9.140625" style="5"/>
  </cols>
  <sheetData>
    <row r="2" spans="1:7">
      <c r="A2" s="27" t="s">
        <v>149</v>
      </c>
    </row>
    <row r="4" spans="1:7" ht="13.5" thickBot="1"/>
    <row r="5" spans="1:7">
      <c r="A5" s="74" t="s">
        <v>2</v>
      </c>
      <c r="B5" s="29"/>
      <c r="C5" s="417" t="s">
        <v>3</v>
      </c>
      <c r="D5" s="417"/>
      <c r="E5" s="417"/>
      <c r="F5" s="75"/>
      <c r="G5" s="108"/>
    </row>
    <row r="6" spans="1:7">
      <c r="A6" s="10"/>
      <c r="B6" s="9"/>
      <c r="C6" s="9"/>
      <c r="D6" s="9"/>
      <c r="E6" s="9"/>
      <c r="F6" s="96"/>
      <c r="G6" s="11"/>
    </row>
    <row r="7" spans="1:7">
      <c r="A7" s="10"/>
      <c r="B7" s="9"/>
      <c r="C7" s="54" t="s">
        <v>91</v>
      </c>
      <c r="D7" s="54" t="s">
        <v>8</v>
      </c>
      <c r="E7" s="54" t="s">
        <v>9</v>
      </c>
      <c r="F7" s="109"/>
      <c r="G7" s="110" t="s">
        <v>16</v>
      </c>
    </row>
    <row r="8" spans="1:7">
      <c r="A8" s="10" t="s">
        <v>12</v>
      </c>
      <c r="B8" s="9"/>
      <c r="C8" s="111">
        <v>3</v>
      </c>
      <c r="D8" s="111">
        <v>4</v>
      </c>
      <c r="E8" s="111">
        <v>8</v>
      </c>
      <c r="F8" s="82"/>
      <c r="G8" s="112">
        <f>SUM(C8:E8)</f>
        <v>15</v>
      </c>
    </row>
    <row r="9" spans="1:7" ht="14.25">
      <c r="A9" s="10" t="s">
        <v>232</v>
      </c>
      <c r="B9" s="9"/>
      <c r="C9" s="111">
        <v>510</v>
      </c>
      <c r="D9" s="111">
        <v>470</v>
      </c>
      <c r="E9" s="111">
        <v>608</v>
      </c>
      <c r="F9" s="113"/>
      <c r="G9" s="112">
        <f>SUM(C9:E9)</f>
        <v>1588</v>
      </c>
    </row>
    <row r="10" spans="1:7">
      <c r="A10" s="10" t="s">
        <v>208</v>
      </c>
      <c r="B10" s="9"/>
      <c r="C10" s="111">
        <v>10592</v>
      </c>
      <c r="D10" s="111">
        <v>11734</v>
      </c>
      <c r="E10" s="111">
        <v>11973</v>
      </c>
      <c r="F10" s="82"/>
      <c r="G10" s="112">
        <f>SUMPRODUCT(C10:E10,C9:E9)/G9</f>
        <v>11458.743073047859</v>
      </c>
    </row>
    <row r="11" spans="1:7" ht="13.5" thickBot="1">
      <c r="A11" s="95" t="s">
        <v>140</v>
      </c>
      <c r="B11" s="23"/>
      <c r="C11" s="114">
        <v>75</v>
      </c>
      <c r="D11" s="114">
        <v>75</v>
      </c>
      <c r="E11" s="114">
        <v>75</v>
      </c>
      <c r="F11" s="23"/>
      <c r="G11" s="120">
        <f>SUM(C11:E11)</f>
        <v>225</v>
      </c>
    </row>
    <row r="13" spans="1:7" ht="13.5" thickBot="1">
      <c r="A13" s="9"/>
      <c r="B13" s="9"/>
      <c r="C13" s="9"/>
      <c r="D13" s="9"/>
      <c r="E13" s="9"/>
      <c r="F13" s="9"/>
      <c r="G13" s="9"/>
    </row>
    <row r="14" spans="1:7">
      <c r="A14" s="74" t="s">
        <v>218</v>
      </c>
      <c r="B14" s="29"/>
      <c r="C14" s="7"/>
      <c r="D14" s="7"/>
      <c r="E14" s="7"/>
      <c r="F14" s="29"/>
      <c r="G14" s="115"/>
    </row>
    <row r="15" spans="1:7">
      <c r="A15" s="10"/>
      <c r="B15" s="9"/>
      <c r="C15" s="9"/>
      <c r="D15" s="9"/>
      <c r="E15" s="9"/>
      <c r="F15" s="96"/>
      <c r="G15" s="97"/>
    </row>
    <row r="16" spans="1:7">
      <c r="A16" s="10" t="s">
        <v>219</v>
      </c>
      <c r="B16" s="9"/>
      <c r="C16" s="116">
        <v>4</v>
      </c>
      <c r="D16" s="98">
        <f>C16</f>
        <v>4</v>
      </c>
      <c r="E16" s="98">
        <f>C16</f>
        <v>4</v>
      </c>
      <c r="F16" s="117"/>
      <c r="G16" s="118"/>
    </row>
    <row r="17" spans="1:7">
      <c r="A17" s="10" t="s">
        <v>182</v>
      </c>
      <c r="B17" s="9"/>
      <c r="C17" s="99">
        <f t="shared" ref="C17:E18" si="0">C23</f>
        <v>1.5</v>
      </c>
      <c r="D17" s="99">
        <f t="shared" si="0"/>
        <v>3</v>
      </c>
      <c r="E17" s="99">
        <f t="shared" si="0"/>
        <v>2</v>
      </c>
      <c r="F17" s="9"/>
      <c r="G17" s="11"/>
    </row>
    <row r="18" spans="1:7">
      <c r="A18" s="10" t="s">
        <v>211</v>
      </c>
      <c r="B18" s="9"/>
      <c r="C18" s="82">
        <f t="shared" si="0"/>
        <v>1500</v>
      </c>
      <c r="D18" s="82">
        <f t="shared" si="0"/>
        <v>1500</v>
      </c>
      <c r="E18" s="82">
        <f t="shared" si="0"/>
        <v>1000</v>
      </c>
      <c r="F18" s="9"/>
      <c r="G18" s="112"/>
    </row>
    <row r="19" spans="1:7" ht="13.5" thickBot="1">
      <c r="A19" s="95" t="s">
        <v>139</v>
      </c>
      <c r="B19" s="23"/>
      <c r="C19" s="119">
        <v>532991.61978558963</v>
      </c>
      <c r="D19" s="119">
        <v>461312.72185621865</v>
      </c>
      <c r="E19" s="119">
        <v>2002000</v>
      </c>
      <c r="F19" s="23"/>
      <c r="G19" s="120"/>
    </row>
    <row r="20" spans="1:7">
      <c r="A20" s="9"/>
      <c r="B20" s="9"/>
      <c r="C20" s="9"/>
      <c r="D20" s="9"/>
      <c r="E20" s="9"/>
      <c r="F20" s="9"/>
      <c r="G20" s="9"/>
    </row>
    <row r="21" spans="1:7" ht="13.5" thickBot="1"/>
    <row r="22" spans="1:7">
      <c r="A22" s="28" t="s">
        <v>38</v>
      </c>
      <c r="B22" s="7"/>
      <c r="C22" s="100"/>
      <c r="D22" s="100"/>
      <c r="E22" s="121"/>
      <c r="F22" s="122"/>
      <c r="G22" s="123"/>
    </row>
    <row r="23" spans="1:7">
      <c r="A23" s="124" t="s">
        <v>230</v>
      </c>
      <c r="B23" s="9"/>
      <c r="C23" s="125">
        <v>1.5</v>
      </c>
      <c r="D23" s="125">
        <v>3</v>
      </c>
      <c r="E23" s="125">
        <v>2</v>
      </c>
      <c r="F23" s="101"/>
      <c r="G23" s="102"/>
    </row>
    <row r="24" spans="1:7">
      <c r="A24" s="10" t="s">
        <v>215</v>
      </c>
      <c r="B24" s="9"/>
      <c r="C24" s="111">
        <v>1500</v>
      </c>
      <c r="D24" s="111">
        <v>1500</v>
      </c>
      <c r="E24" s="111">
        <v>1000</v>
      </c>
      <c r="F24" s="103"/>
      <c r="G24" s="126"/>
    </row>
    <row r="25" spans="1:7">
      <c r="A25" s="10" t="s">
        <v>101</v>
      </c>
      <c r="B25" s="9"/>
      <c r="C25" s="70">
        <v>0.03</v>
      </c>
      <c r="D25" s="103">
        <f>C25</f>
        <v>0.03</v>
      </c>
      <c r="E25" s="103">
        <f>C25</f>
        <v>0.03</v>
      </c>
      <c r="F25" s="85"/>
      <c r="G25" s="127"/>
    </row>
    <row r="26" spans="1:7">
      <c r="A26" s="10"/>
      <c r="B26" s="9"/>
      <c r="C26" s="25"/>
      <c r="D26" s="25"/>
      <c r="E26" s="25"/>
      <c r="F26" s="104"/>
      <c r="G26" s="105"/>
    </row>
    <row r="27" spans="1:7">
      <c r="A27" s="55" t="s">
        <v>100</v>
      </c>
      <c r="B27" s="9"/>
      <c r="C27" s="106"/>
      <c r="D27" s="106"/>
      <c r="E27" s="106"/>
      <c r="F27" s="104"/>
      <c r="G27" s="105"/>
    </row>
    <row r="28" spans="1:7">
      <c r="A28" s="10" t="s">
        <v>41</v>
      </c>
      <c r="B28" s="9"/>
      <c r="C28" s="128">
        <v>1242.4817142857141</v>
      </c>
      <c r="D28" s="128">
        <v>1515.7902857142858</v>
      </c>
      <c r="E28" s="128">
        <v>1448.5405714285714</v>
      </c>
      <c r="F28" s="104"/>
      <c r="G28" s="105"/>
    </row>
    <row r="29" spans="1:7">
      <c r="A29" s="10" t="s">
        <v>42</v>
      </c>
      <c r="B29" s="9"/>
      <c r="C29" s="129">
        <f>C23*C19/1000</f>
        <v>799.4874296783845</v>
      </c>
      <c r="D29" s="129">
        <f>D23*D19/1000</f>
        <v>1383.9381655686559</v>
      </c>
      <c r="E29" s="129">
        <f>E23*E19/1000</f>
        <v>4004</v>
      </c>
      <c r="F29" s="104"/>
      <c r="G29" s="105"/>
    </row>
    <row r="30" spans="1:7">
      <c r="A30" s="10" t="s">
        <v>216</v>
      </c>
      <c r="B30" s="9"/>
      <c r="C30" s="129">
        <f>C24*C11*C8/1000</f>
        <v>337.5</v>
      </c>
      <c r="D30" s="129">
        <f>D24*D11*D8/1000</f>
        <v>450</v>
      </c>
      <c r="E30" s="129">
        <f>E24*E11*E8/1000</f>
        <v>600</v>
      </c>
      <c r="F30" s="9"/>
      <c r="G30" s="11"/>
    </row>
    <row r="31" spans="1:7">
      <c r="A31" s="10" t="s">
        <v>99</v>
      </c>
      <c r="B31" s="9"/>
      <c r="C31" s="128">
        <v>322.2511428571429</v>
      </c>
      <c r="D31" s="128">
        <v>306.26771428571425</v>
      </c>
      <c r="E31" s="128">
        <v>400.64714285714285</v>
      </c>
      <c r="F31" s="104"/>
      <c r="G31" s="105"/>
    </row>
    <row r="32" spans="1:7" ht="13.5" thickBot="1">
      <c r="A32" s="95" t="s">
        <v>231</v>
      </c>
      <c r="B32" s="23"/>
      <c r="C32" s="130">
        <f>-Gleason!B50</f>
        <v>92.2251014</v>
      </c>
      <c r="D32" s="130">
        <f>-Wheatland!B50</f>
        <v>203.273</v>
      </c>
      <c r="E32" s="130">
        <f>-Wilton!B50</f>
        <v>333.7</v>
      </c>
      <c r="F32" s="23"/>
      <c r="G32" s="24"/>
    </row>
    <row r="34" spans="1:7" ht="13.5" thickBot="1">
      <c r="A34" s="9"/>
      <c r="B34" s="9"/>
      <c r="C34" s="9"/>
      <c r="D34" s="9"/>
      <c r="E34" s="9"/>
      <c r="F34" s="9"/>
      <c r="G34" s="9"/>
    </row>
    <row r="35" spans="1:7">
      <c r="A35" s="74" t="s">
        <v>32</v>
      </c>
      <c r="B35" s="29"/>
      <c r="C35" s="121"/>
      <c r="D35" s="121"/>
      <c r="E35" s="121"/>
      <c r="F35" s="121"/>
      <c r="G35" s="131"/>
    </row>
    <row r="36" spans="1:7">
      <c r="A36" s="10"/>
      <c r="B36" s="9"/>
      <c r="C36" s="101"/>
      <c r="D36" s="101"/>
      <c r="E36" s="101"/>
      <c r="F36" s="101"/>
      <c r="G36" s="102"/>
    </row>
    <row r="37" spans="1:7">
      <c r="A37" s="10" t="s">
        <v>34</v>
      </c>
      <c r="B37" s="9"/>
      <c r="C37" s="70">
        <v>0.35</v>
      </c>
      <c r="D37" s="70">
        <v>0.35</v>
      </c>
      <c r="E37" s="70">
        <v>0.35</v>
      </c>
      <c r="F37" s="103"/>
      <c r="G37" s="126">
        <v>0.35</v>
      </c>
    </row>
    <row r="38" spans="1:7">
      <c r="A38" s="10" t="s">
        <v>35</v>
      </c>
      <c r="B38" s="9"/>
      <c r="C38" s="132">
        <v>0.06</v>
      </c>
      <c r="D38" s="132">
        <v>4.4999999999999998E-2</v>
      </c>
      <c r="E38" s="132">
        <v>7.1800000000000003E-2</v>
      </c>
      <c r="F38" s="85"/>
      <c r="G38" s="127"/>
    </row>
    <row r="39" spans="1:7">
      <c r="A39" s="10" t="s">
        <v>80</v>
      </c>
      <c r="B39" s="9"/>
      <c r="C39" s="132" t="s">
        <v>36</v>
      </c>
      <c r="D39" s="132">
        <v>3.4000000000000002E-2</v>
      </c>
      <c r="E39" s="132" t="s">
        <v>36</v>
      </c>
      <c r="F39" s="85"/>
      <c r="G39" s="127"/>
    </row>
    <row r="40" spans="1:7">
      <c r="A40" s="10" t="s">
        <v>158</v>
      </c>
      <c r="B40" s="9"/>
      <c r="C40" s="132" t="s">
        <v>36</v>
      </c>
      <c r="D40" s="132">
        <v>1.2E-2</v>
      </c>
      <c r="E40" s="132" t="s">
        <v>36</v>
      </c>
      <c r="F40" s="101"/>
      <c r="G40" s="102"/>
    </row>
    <row r="41" spans="1:7">
      <c r="A41" s="10" t="s">
        <v>161</v>
      </c>
      <c r="B41" s="9"/>
      <c r="C41" s="132">
        <v>2.5000000000000001E-3</v>
      </c>
      <c r="D41" s="132" t="s">
        <v>36</v>
      </c>
      <c r="E41" s="132">
        <v>1.5E-3</v>
      </c>
      <c r="F41" s="101"/>
      <c r="G41" s="102"/>
    </row>
    <row r="42" spans="1:7" ht="13.5" thickBot="1">
      <c r="A42" s="95" t="s">
        <v>162</v>
      </c>
      <c r="B42" s="23"/>
      <c r="C42" s="133">
        <v>2.5000000000000001E-3</v>
      </c>
      <c r="D42" s="133" t="s">
        <v>36</v>
      </c>
      <c r="E42" s="133">
        <v>1E-3</v>
      </c>
      <c r="F42" s="23"/>
      <c r="G42" s="24"/>
    </row>
  </sheetData>
  <mergeCells count="1">
    <mergeCell ref="C5:E5"/>
  </mergeCells>
  <pageMargins left="0.75" right="0.75" top="1" bottom="1" header="0.5" footer="0.5"/>
  <pageSetup scale="83" orientation="landscape" r:id="rId1"/>
  <headerFooter alignWithMargins="0">
    <oddHeader>&amp;L&amp;12Enron's Generation&amp;RCONFIDENTIAL</oddHeader>
    <oddFooter>&amp;L&amp;D&amp;C&amp;F&amp;RPage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V44"/>
  <sheetViews>
    <sheetView zoomScaleNormal="75" workbookViewId="0">
      <pane xSplit="1" ySplit="4" topLeftCell="B5" activePane="bottomRight" state="frozen"/>
      <selection pane="topRight"/>
      <selection pane="bottomLeft"/>
      <selection pane="bottomRight" activeCell="B5" sqref="B5"/>
    </sheetView>
  </sheetViews>
  <sheetFormatPr defaultColWidth="9.28515625" defaultRowHeight="12.75"/>
  <cols>
    <col min="1" max="1" width="45.140625" style="5" bestFit="1" customWidth="1"/>
    <col min="2" max="2" width="6.7109375" style="5" customWidth="1"/>
    <col min="3" max="15" width="6.7109375" style="5" bestFit="1" customWidth="1"/>
    <col min="16" max="22" width="7.7109375" style="5" bestFit="1" customWidth="1"/>
    <col min="23" max="16384" width="9.28515625" style="5"/>
  </cols>
  <sheetData>
    <row r="1" spans="1:22" ht="12" customHeight="1">
      <c r="A1" s="26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</row>
    <row r="2" spans="1:22">
      <c r="A2" s="27" t="s">
        <v>204</v>
      </c>
      <c r="B2" s="6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</row>
    <row r="3" spans="1:22"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</row>
    <row r="4" spans="1:22">
      <c r="C4" s="137">
        <v>2001</v>
      </c>
      <c r="D4" s="137">
        <v>2002</v>
      </c>
      <c r="E4" s="137">
        <v>2003</v>
      </c>
      <c r="F4" s="137">
        <v>2004</v>
      </c>
      <c r="G4" s="137">
        <v>2005</v>
      </c>
      <c r="H4" s="137">
        <v>2006</v>
      </c>
      <c r="I4" s="137">
        <v>2007</v>
      </c>
      <c r="J4" s="137">
        <v>2008</v>
      </c>
      <c r="K4" s="137">
        <v>2009</v>
      </c>
      <c r="L4" s="137">
        <v>2010</v>
      </c>
      <c r="M4" s="137">
        <v>2011</v>
      </c>
      <c r="N4" s="137">
        <v>2012</v>
      </c>
      <c r="O4" s="137">
        <v>2013</v>
      </c>
      <c r="P4" s="137">
        <v>2014</v>
      </c>
      <c r="Q4" s="137">
        <v>2015</v>
      </c>
      <c r="R4" s="137">
        <v>2016</v>
      </c>
      <c r="S4" s="137">
        <v>2017</v>
      </c>
      <c r="T4" s="137">
        <v>2018</v>
      </c>
      <c r="U4" s="137">
        <v>2019</v>
      </c>
      <c r="V4" s="137">
        <v>2020</v>
      </c>
    </row>
    <row r="5" spans="1:22"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</row>
    <row r="6" spans="1:22">
      <c r="A6" s="138" t="s">
        <v>221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</row>
    <row r="7" spans="1:22">
      <c r="A7" s="138"/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</row>
    <row r="8" spans="1:22">
      <c r="A8" s="14" t="s">
        <v>193</v>
      </c>
      <c r="C8" s="140">
        <f>Assumptions!C25</f>
        <v>0.03</v>
      </c>
      <c r="D8" s="9"/>
      <c r="E8" s="141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 spans="1:22">
      <c r="A9" s="14"/>
      <c r="B9" s="142"/>
      <c r="C9" s="9"/>
      <c r="D9" s="9"/>
      <c r="E9" s="141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>
      <c r="A10" s="9"/>
      <c r="B10" s="19"/>
      <c r="C10" s="9"/>
      <c r="D10" s="9"/>
      <c r="E10" s="141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>
      <c r="A11" s="138" t="s">
        <v>43</v>
      </c>
      <c r="B11" s="9"/>
      <c r="C11" s="143"/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</row>
    <row r="12" spans="1:22">
      <c r="A12" s="9" t="s">
        <v>233</v>
      </c>
      <c r="B12" s="9"/>
    </row>
    <row r="13" spans="1:22">
      <c r="A13" s="9"/>
      <c r="B13" s="9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</row>
    <row r="14" spans="1:22">
      <c r="A14" s="144" t="s">
        <v>44</v>
      </c>
      <c r="B14" s="9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</row>
    <row r="15" spans="1:22">
      <c r="A15" s="9" t="s">
        <v>194</v>
      </c>
      <c r="B15" s="145"/>
      <c r="C15" s="146">
        <v>60.97229916897507</v>
      </c>
      <c r="D15" s="146">
        <v>62.131742415801384</v>
      </c>
      <c r="E15" s="146">
        <v>63.313233521424777</v>
      </c>
      <c r="F15" s="146">
        <v>64.517191745760613</v>
      </c>
      <c r="G15" s="146">
        <v>65.744044321329639</v>
      </c>
      <c r="H15" s="146">
        <v>64.64769576191091</v>
      </c>
      <c r="I15" s="146">
        <v>63.569629925682506</v>
      </c>
      <c r="J15" s="146">
        <v>62.50954192970881</v>
      </c>
      <c r="K15" s="146">
        <v>61.467131975286122</v>
      </c>
      <c r="L15" s="146">
        <v>60.442105263157892</v>
      </c>
      <c r="M15" s="146">
        <v>59.792038989376501</v>
      </c>
      <c r="N15" s="146">
        <v>59.148964301319459</v>
      </c>
      <c r="O15" s="146">
        <v>58.512806003159973</v>
      </c>
      <c r="P15" s="146">
        <v>57.883489707816537</v>
      </c>
      <c r="Q15" s="146">
        <v>57.26094182825485</v>
      </c>
      <c r="R15" s="146">
        <v>56.386317952681878</v>
      </c>
      <c r="S15" s="146">
        <v>55.525053391491426</v>
      </c>
      <c r="T15" s="146">
        <v>54.676944089791142</v>
      </c>
      <c r="U15" s="146">
        <v>53.841789109495259</v>
      </c>
      <c r="V15" s="146">
        <v>53.019390581717452</v>
      </c>
    </row>
    <row r="16" spans="1:22">
      <c r="A16" s="9"/>
      <c r="B16" s="9"/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>
      <c r="A17" s="144" t="s">
        <v>45</v>
      </c>
      <c r="B17" s="9"/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>
      <c r="A18" s="9" t="s">
        <v>195</v>
      </c>
      <c r="B18" s="147"/>
      <c r="C18" s="146">
        <f>C15*(1+'Power Price Assumption'!$C$8)^(C4-1998)</f>
        <v>66.626077554016618</v>
      </c>
      <c r="D18" s="146">
        <f>D15*(1+'Power Price Assumption'!$C$8)^(D4-1998)</f>
        <v>69.929823469635139</v>
      </c>
      <c r="E18" s="146">
        <f>E15*(1+'Power Price Assumption'!$C$8)^(E4-1998)</f>
        <v>73.397390181489428</v>
      </c>
      <c r="F18" s="146">
        <f>F15*(1+'Power Price Assumption'!$C$8)^(F4-1998)</f>
        <v>77.036900969627297</v>
      </c>
      <c r="G18" s="146">
        <f>G15*(1+'Power Price Assumption'!$C$8)^(G4-1998)</f>
        <v>80.85688191813766</v>
      </c>
      <c r="H18" s="146">
        <f>H15*(1+'Power Price Assumption'!$C$8)^(H4-1998)</f>
        <v>81.893766821837715</v>
      </c>
      <c r="I18" s="146">
        <f>I15*(1+'Power Price Assumption'!$C$8)^(I4-1998)</f>
        <v>82.943948432979582</v>
      </c>
      <c r="J18" s="146">
        <f>J15*(1+'Power Price Assumption'!$C$8)^(J4-1998)</f>
        <v>84.00759726463383</v>
      </c>
      <c r="K18" s="146">
        <f>K15*(1+'Power Price Assumption'!$C$8)^(K4-1998)</f>
        <v>85.084886016480638</v>
      </c>
      <c r="L18" s="146">
        <f>L15*(1+'Power Price Assumption'!$C$8)^(L4-1998)</f>
        <v>86.17598960285008</v>
      </c>
      <c r="M18" s="146">
        <f>M15*(1+'Power Price Assumption'!$C$8)^(M4-1998)</f>
        <v>87.806625051909762</v>
      </c>
      <c r="N18" s="146">
        <f>N15*(1+'Power Price Assumption'!$C$8)^(N4-1998)</f>
        <v>89.468115637997585</v>
      </c>
      <c r="O18" s="146">
        <f>O15*(1+'Power Price Assumption'!$C$8)^(O4-1998)</f>
        <v>91.161045206804843</v>
      </c>
      <c r="P18" s="146">
        <f>P15*(1+'Power Price Assumption'!$C$8)^(P4-1998)</f>
        <v>92.886008651641561</v>
      </c>
      <c r="Q18" s="146">
        <f>Q15*(1+'Power Price Assumption'!$C$8)^(Q4-1998)</f>
        <v>94.643612122481485</v>
      </c>
      <c r="R18" s="146">
        <f>R15*(1+'Power Price Assumption'!$C$8)^(R4-1998)</f>
        <v>95.993931884230719</v>
      </c>
      <c r="S18" s="146">
        <f>S15*(1+'Power Price Assumption'!$C$8)^(S4-1998)</f>
        <v>97.363517219409388</v>
      </c>
      <c r="T18" s="146">
        <f>T15*(1+'Power Price Assumption'!$C$8)^(T4-1998)</f>
        <v>98.752642997963164</v>
      </c>
      <c r="U18" s="146">
        <f>U15*(1+'Power Price Assumption'!$C$8)^(U4-1998)</f>
        <v>100.16158801152146</v>
      </c>
      <c r="V18" s="146">
        <f>V15*(1+'Power Price Assumption'!$C$8)^(V4-1998)</f>
        <v>101.59063502934997</v>
      </c>
    </row>
    <row r="19" spans="1:22" ht="13.5" thickBot="1">
      <c r="A19" s="9"/>
      <c r="B19" s="9"/>
      <c r="C19" s="149"/>
      <c r="D19" s="149"/>
      <c r="E19" s="149"/>
      <c r="F19" s="149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</row>
    <row r="20" spans="1:22" ht="13.5" thickBot="1">
      <c r="A20" s="150" t="s">
        <v>234</v>
      </c>
      <c r="B20" s="134"/>
      <c r="C20" s="151">
        <f>C18/12</f>
        <v>5.5521731295013845</v>
      </c>
      <c r="D20" s="151">
        <f t="shared" ref="D20:V20" si="0">D18/12</f>
        <v>5.8274852891362618</v>
      </c>
      <c r="E20" s="151">
        <f t="shared" si="0"/>
        <v>6.1164491817907853</v>
      </c>
      <c r="F20" s="151">
        <f t="shared" si="0"/>
        <v>6.4197417474689411</v>
      </c>
      <c r="G20" s="151">
        <f t="shared" si="0"/>
        <v>6.7380734931781383</v>
      </c>
      <c r="H20" s="151">
        <f t="shared" si="0"/>
        <v>6.824480568486476</v>
      </c>
      <c r="I20" s="151">
        <f t="shared" si="0"/>
        <v>6.9119957027482988</v>
      </c>
      <c r="J20" s="151">
        <f t="shared" si="0"/>
        <v>7.0006331053861528</v>
      </c>
      <c r="K20" s="151">
        <f t="shared" si="0"/>
        <v>7.0904071680400529</v>
      </c>
      <c r="L20" s="151">
        <f t="shared" si="0"/>
        <v>7.1813324669041734</v>
      </c>
      <c r="M20" s="151">
        <f t="shared" si="0"/>
        <v>7.3172187543258138</v>
      </c>
      <c r="N20" s="151">
        <f t="shared" si="0"/>
        <v>7.4556763031664657</v>
      </c>
      <c r="O20" s="151">
        <f t="shared" si="0"/>
        <v>7.5967537672337366</v>
      </c>
      <c r="P20" s="151">
        <f t="shared" si="0"/>
        <v>7.7405007209701298</v>
      </c>
      <c r="Q20" s="151">
        <f t="shared" si="0"/>
        <v>7.8869676768734571</v>
      </c>
      <c r="R20" s="151">
        <f t="shared" si="0"/>
        <v>7.9994943236858935</v>
      </c>
      <c r="S20" s="151">
        <f t="shared" si="0"/>
        <v>8.113626434950783</v>
      </c>
      <c r="T20" s="151">
        <f t="shared" si="0"/>
        <v>8.2293869164969298</v>
      </c>
      <c r="U20" s="151">
        <f t="shared" si="0"/>
        <v>8.3467990009601216</v>
      </c>
      <c r="V20" s="151">
        <f t="shared" si="0"/>
        <v>8.4658862524458307</v>
      </c>
    </row>
    <row r="21" spans="1:22" s="6" customFormat="1">
      <c r="A21" s="14"/>
      <c r="B21" s="9"/>
      <c r="C21" s="148"/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>
      <c r="A22" s="9"/>
      <c r="B22" s="152"/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</row>
    <row r="23" spans="1:22">
      <c r="A23" s="138" t="s">
        <v>47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>
      <c r="A24" s="9" t="s">
        <v>48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>
      <c r="A26" s="144" t="s">
        <v>44</v>
      </c>
      <c r="B26" s="9"/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</row>
    <row r="27" spans="1:22">
      <c r="A27" s="9" t="s">
        <v>194</v>
      </c>
      <c r="B27" s="152"/>
      <c r="C27" s="146">
        <v>63.677659574468088</v>
      </c>
      <c r="D27" s="146">
        <v>65.100779776943028</v>
      </c>
      <c r="E27" s="146">
        <v>66.555705028853311</v>
      </c>
      <c r="F27" s="146">
        <v>68.043146135349346</v>
      </c>
      <c r="G27" s="146">
        <v>69.563829787234042</v>
      </c>
      <c r="H27" s="146">
        <v>68.90950818778056</v>
      </c>
      <c r="I27" s="146">
        <v>68.261341176951959</v>
      </c>
      <c r="J27" s="146">
        <v>67.619270864314558</v>
      </c>
      <c r="K27" s="146">
        <v>66.983239903955678</v>
      </c>
      <c r="L27" s="146">
        <v>66.353191489361706</v>
      </c>
      <c r="M27" s="146">
        <v>65.246684783649414</v>
      </c>
      <c r="N27" s="146">
        <v>64.158630198510451</v>
      </c>
      <c r="O27" s="146">
        <v>63.088720026136173</v>
      </c>
      <c r="P27" s="146">
        <v>62.036651690057468</v>
      </c>
      <c r="Q27" s="146">
        <v>61.002127659574469</v>
      </c>
      <c r="R27" s="146">
        <v>60.120860172387651</v>
      </c>
      <c r="S27" s="146">
        <v>59.25232391956542</v>
      </c>
      <c r="T27" s="146">
        <v>58.396334979278365</v>
      </c>
      <c r="U27" s="146">
        <v>57.55271208672454</v>
      </c>
      <c r="V27" s="146">
        <v>56.721276595744683</v>
      </c>
    </row>
    <row r="28" spans="1:22">
      <c r="A28" s="9"/>
      <c r="B28" s="152"/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</row>
    <row r="29" spans="1:22">
      <c r="A29" s="144" t="s">
        <v>45</v>
      </c>
      <c r="B29" s="152"/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</row>
    <row r="30" spans="1:22">
      <c r="A30" s="9" t="s">
        <v>195</v>
      </c>
      <c r="B30" s="152"/>
      <c r="C30" s="154">
        <f>C27*(1+'Power Price Assumption'!$C$8)^(C4-1998)</f>
        <v>69.582297913829791</v>
      </c>
      <c r="D30" s="154">
        <f>D27*(1+'Power Price Assumption'!$C$8)^(D4-1998)</f>
        <v>73.271501176819214</v>
      </c>
      <c r="E30" s="154">
        <f>E27*(1+'Power Price Assumption'!$C$8)^(E4-1998)</f>
        <v>77.156303336707765</v>
      </c>
      <c r="F30" s="154">
        <f>F27*(1+'Power Price Assumption'!$C$8)^(F4-1998)</f>
        <v>81.247074905972227</v>
      </c>
      <c r="G30" s="154">
        <f>G27*(1+'Power Price Assumption'!$C$8)^(G4-1998)</f>
        <v>85.554736234183238</v>
      </c>
      <c r="H30" s="154">
        <f>H27*(1+'Power Price Assumption'!$C$8)^(H4-1998)</f>
        <v>87.292503295415372</v>
      </c>
      <c r="I30" s="154">
        <f>I27*(1+'Power Price Assumption'!$C$8)^(I4-1998)</f>
        <v>89.065567459905907</v>
      </c>
      <c r="J30" s="154">
        <f>J27*(1+'Power Price Assumption'!$C$8)^(J4-1998)</f>
        <v>90.874645673859078</v>
      </c>
      <c r="K30" s="154">
        <f>K27*(1+'Power Price Assumption'!$C$8)^(K4-1998)</f>
        <v>92.720469445916706</v>
      </c>
      <c r="L30" s="154">
        <f>L27*(1+'Power Price Assumption'!$C$8)^(L4-1998)</f>
        <v>94.603785142946663</v>
      </c>
      <c r="M30" s="154">
        <f>M27*(1+'Power Price Assumption'!$C$8)^(M4-1998)</f>
        <v>95.816956295736318</v>
      </c>
      <c r="N30" s="154">
        <f>N27*(1+'Power Price Assumption'!$C$8)^(N4-1998)</f>
        <v>97.045684799045745</v>
      </c>
      <c r="O30" s="154">
        <f>O27*(1+'Power Price Assumption'!$C$8)^(O4-1998)</f>
        <v>98.29017015576828</v>
      </c>
      <c r="P30" s="154">
        <f>P27*(1+'Power Price Assumption'!$C$8)^(P4-1998)</f>
        <v>99.550614427163865</v>
      </c>
      <c r="Q30" s="154">
        <f>Q27*(1+'Power Price Assumption'!$C$8)^(Q4-1998)</f>
        <v>100.82722226566673</v>
      </c>
      <c r="R30" s="154">
        <f>R27*(1+'Power Price Assumption'!$C$8)^(R4-1998)</f>
        <v>102.35174002765409</v>
      </c>
      <c r="S30" s="154">
        <f>S27*(1+'Power Price Assumption'!$C$8)^(S4-1998)</f>
        <v>103.89930865184301</v>
      </c>
      <c r="T30" s="154">
        <f>T27*(1+'Power Price Assumption'!$C$8)^(T4-1998)</f>
        <v>105.47027666959309</v>
      </c>
      <c r="U30" s="154">
        <f>U27*(1+'Power Price Assumption'!$C$8)^(U4-1998)</f>
        <v>107.06499788209312</v>
      </c>
      <c r="V30" s="154">
        <f>V27*(1+'Power Price Assumption'!$C$8)^(V4-1998)</f>
        <v>108.68383144004159</v>
      </c>
    </row>
    <row r="31" spans="1:22" ht="13.5" thickBot="1">
      <c r="A31" s="9"/>
      <c r="B31" s="9"/>
      <c r="C31" s="139"/>
      <c r="D31" s="139"/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155"/>
      <c r="R31" s="155"/>
      <c r="S31" s="155"/>
      <c r="T31" s="155"/>
      <c r="U31" s="155"/>
      <c r="V31" s="155"/>
    </row>
    <row r="32" spans="1:22" ht="13.5" thickBot="1">
      <c r="A32" s="150" t="s">
        <v>220</v>
      </c>
      <c r="B32" s="134"/>
      <c r="C32" s="151">
        <f>C30/12</f>
        <v>5.7985248261524829</v>
      </c>
      <c r="D32" s="151">
        <f t="shared" ref="D32:V32" si="1">D30/12</f>
        <v>6.1059584314016009</v>
      </c>
      <c r="E32" s="151">
        <f t="shared" si="1"/>
        <v>6.4296919447256471</v>
      </c>
      <c r="F32" s="151">
        <f t="shared" si="1"/>
        <v>6.7705895754976853</v>
      </c>
      <c r="G32" s="151">
        <f t="shared" si="1"/>
        <v>7.1295613528486035</v>
      </c>
      <c r="H32" s="151">
        <f t="shared" si="1"/>
        <v>7.274375274617948</v>
      </c>
      <c r="I32" s="151">
        <f t="shared" si="1"/>
        <v>7.4221306216588259</v>
      </c>
      <c r="J32" s="151">
        <f t="shared" si="1"/>
        <v>7.5728871394882562</v>
      </c>
      <c r="K32" s="151">
        <f t="shared" si="1"/>
        <v>7.7267057871597258</v>
      </c>
      <c r="L32" s="151">
        <f t="shared" si="1"/>
        <v>7.8836487619122222</v>
      </c>
      <c r="M32" s="151">
        <f t="shared" si="1"/>
        <v>7.9847463579780262</v>
      </c>
      <c r="N32" s="151">
        <f t="shared" si="1"/>
        <v>8.0871403999204787</v>
      </c>
      <c r="O32" s="151">
        <f t="shared" si="1"/>
        <v>8.1908475129806906</v>
      </c>
      <c r="P32" s="151">
        <f t="shared" si="1"/>
        <v>8.2958845355969881</v>
      </c>
      <c r="Q32" s="151">
        <f t="shared" si="1"/>
        <v>8.4022685221388951</v>
      </c>
      <c r="R32" s="151">
        <f t="shared" si="1"/>
        <v>8.5293116689711734</v>
      </c>
      <c r="S32" s="151">
        <f t="shared" si="1"/>
        <v>8.6582757209869179</v>
      </c>
      <c r="T32" s="151">
        <f t="shared" si="1"/>
        <v>8.7891897224660909</v>
      </c>
      <c r="U32" s="151">
        <f t="shared" si="1"/>
        <v>8.9220831568410937</v>
      </c>
      <c r="V32" s="151">
        <f t="shared" si="1"/>
        <v>9.0569859533367989</v>
      </c>
    </row>
    <row r="33" spans="1:22">
      <c r="A33" s="9"/>
      <c r="B33" s="152"/>
      <c r="C33" s="156"/>
      <c r="D33" s="156"/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</row>
    <row r="34" spans="1:22">
      <c r="A34" s="9"/>
      <c r="B34" s="152"/>
      <c r="C34" s="156"/>
      <c r="D34" s="156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</row>
    <row r="35" spans="1:22">
      <c r="A35" s="138" t="s">
        <v>192</v>
      </c>
      <c r="B35" s="152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</row>
    <row r="36" spans="1:22">
      <c r="A36" s="9" t="s">
        <v>46</v>
      </c>
      <c r="B36" s="152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  <c r="U36" s="153"/>
      <c r="V36" s="153"/>
    </row>
    <row r="37" spans="1:22">
      <c r="A37" s="9"/>
      <c r="B37" s="152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</row>
    <row r="38" spans="1:22">
      <c r="A38" s="144" t="s">
        <v>44</v>
      </c>
      <c r="B38" s="152"/>
      <c r="C38" s="153"/>
      <c r="D38" s="153"/>
      <c r="E38" s="153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53"/>
    </row>
    <row r="39" spans="1:22">
      <c r="A39" s="9" t="s">
        <v>194</v>
      </c>
      <c r="B39" s="152"/>
      <c r="C39" s="146">
        <v>64.11023686899189</v>
      </c>
      <c r="D39" s="146">
        <v>65.16178520495788</v>
      </c>
      <c r="E39" s="146">
        <v>66.230581237342975</v>
      </c>
      <c r="F39" s="146">
        <v>67.31690786615431</v>
      </c>
      <c r="G39" s="146">
        <v>68.421052631578945</v>
      </c>
      <c r="H39" s="146">
        <v>67.767228351637073</v>
      </c>
      <c r="I39" s="146">
        <v>67.119651946765785</v>
      </c>
      <c r="J39" s="146">
        <v>66.478263712937448</v>
      </c>
      <c r="K39" s="146">
        <v>65.843004516649714</v>
      </c>
      <c r="L39" s="146">
        <v>65.213815789473685</v>
      </c>
      <c r="M39" s="146">
        <v>64.559364113585431</v>
      </c>
      <c r="N39" s="146">
        <v>63.911480171710068</v>
      </c>
      <c r="O39" s="146">
        <v>63.270098053511326</v>
      </c>
      <c r="P39" s="146">
        <v>62.63515251009445</v>
      </c>
      <c r="Q39" s="146">
        <v>62.006578947368418</v>
      </c>
      <c r="R39" s="146">
        <v>61.12669629598323</v>
      </c>
      <c r="S39" s="146">
        <v>60.259299311334551</v>
      </c>
      <c r="T39" s="146">
        <v>59.404210819939543</v>
      </c>
      <c r="U39" s="146">
        <v>58.561256162433608</v>
      </c>
      <c r="V39" s="146">
        <v>57.73026315789474</v>
      </c>
    </row>
    <row r="40" spans="1:22">
      <c r="A40" s="91"/>
      <c r="B40" s="9"/>
      <c r="C40" s="146"/>
      <c r="D40" s="146"/>
      <c r="E40" s="146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>
      <c r="A41" s="144" t="s">
        <v>45</v>
      </c>
      <c r="B41" s="9"/>
      <c r="C41" s="146"/>
      <c r="D41" s="146"/>
      <c r="E41" s="146"/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>
      <c r="A42" s="9" t="s">
        <v>195</v>
      </c>
      <c r="B42" s="9"/>
      <c r="C42" s="146">
        <f>C39*(1+'Power Price Assumption'!$C$8)^(C4-1998)</f>
        <v>70.054986803142896</v>
      </c>
      <c r="D42" s="146">
        <f>D39*(1+'Power Price Assumption'!$C$8)^(D4-1998)</f>
        <v>73.340163323507738</v>
      </c>
      <c r="E42" s="146">
        <f>E39*(1+'Power Price Assumption'!$C$8)^(E4-1998)</f>
        <v>76.779395754271718</v>
      </c>
      <c r="F42" s="146">
        <f>F39*(1+'Power Price Assumption'!$C$8)^(F4-1998)</f>
        <v>80.379908432812655</v>
      </c>
      <c r="G42" s="146">
        <f>G39*(1+'Power Price Assumption'!$C$8)^(G4-1998)</f>
        <v>84.149264476438475</v>
      </c>
      <c r="H42" s="146">
        <f>H39*(1+'Power Price Assumption'!$C$8)^(H4-1998)</f>
        <v>85.845497374416453</v>
      </c>
      <c r="I42" s="146">
        <f>I39*(1+'Power Price Assumption'!$C$8)^(I4-1998)</f>
        <v>87.575921968092345</v>
      </c>
      <c r="J42" s="146">
        <f>J39*(1+'Power Price Assumption'!$C$8)^(J4-1998)</f>
        <v>89.341227474174616</v>
      </c>
      <c r="K42" s="146">
        <f>K39*(1+'Power Price Assumption'!$C$8)^(K4-1998)</f>
        <v>91.142117002209176</v>
      </c>
      <c r="L42" s="146">
        <f>L39*(1+'Power Price Assumption'!$C$8)^(L4-1998)</f>
        <v>92.979307834623327</v>
      </c>
      <c r="M42" s="146">
        <f>M39*(1+'Power Price Assumption'!$C$8)^(M4-1998)</f>
        <v>94.807602719795241</v>
      </c>
      <c r="N42" s="146">
        <f>N39*(1+'Power Price Assumption'!$C$8)^(N4-1998)</f>
        <v>96.67184820800982</v>
      </c>
      <c r="O42" s="146">
        <f>O39*(1+'Power Price Assumption'!$C$8)^(O4-1998)</f>
        <v>98.572751212506091</v>
      </c>
      <c r="P42" s="146">
        <f>P39*(1+'Power Price Assumption'!$C$8)^(P4-1998)</f>
        <v>100.51103254688311</v>
      </c>
      <c r="Q42" s="146">
        <f>Q39*(1+'Power Price Assumption'!$C$8)^(Q4-1998)</f>
        <v>102.48742719842927</v>
      </c>
      <c r="R42" s="146">
        <f>R39*(1+'Power Price Assumption'!$C$8)^(R4-1998)</f>
        <v>104.06410869865259</v>
      </c>
      <c r="S42" s="146">
        <f>S39*(1+'Power Price Assumption'!$C$8)^(S4-1998)</f>
        <v>105.66504609660987</v>
      </c>
      <c r="T42" s="146">
        <f>T39*(1+'Power Price Assumption'!$C$8)^(T4-1998)</f>
        <v>107.29061254856313</v>
      </c>
      <c r="U42" s="146">
        <f>U39*(1+'Power Price Assumption'!$C$8)^(U4-1998)</f>
        <v>108.94118695146447</v>
      </c>
      <c r="V42" s="146">
        <f>V39*(1+'Power Price Assumption'!$C$8)^(V4-1998)</f>
        <v>110.61715403127204</v>
      </c>
    </row>
    <row r="43" spans="1:22" ht="13.5" thickBot="1">
      <c r="A43" s="9"/>
      <c r="B43" s="9"/>
      <c r="C43" s="139"/>
      <c r="D43" s="139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5"/>
      <c r="U43" s="155"/>
      <c r="V43" s="155"/>
    </row>
    <row r="44" spans="1:22" ht="13.5" thickBot="1">
      <c r="A44" s="150" t="s">
        <v>222</v>
      </c>
      <c r="B44" s="134"/>
      <c r="C44" s="151">
        <f>C42/12</f>
        <v>5.8379155669285749</v>
      </c>
      <c r="D44" s="151">
        <f t="shared" ref="D44:V44" si="2">D42/12</f>
        <v>6.1116802769589782</v>
      </c>
      <c r="E44" s="151">
        <f t="shared" si="2"/>
        <v>6.3982829795226435</v>
      </c>
      <c r="F44" s="151">
        <f t="shared" si="2"/>
        <v>6.6983257027343877</v>
      </c>
      <c r="G44" s="151">
        <f t="shared" si="2"/>
        <v>7.0124387063698732</v>
      </c>
      <c r="H44" s="151">
        <f t="shared" si="2"/>
        <v>7.1537914478680378</v>
      </c>
      <c r="I44" s="151">
        <f t="shared" si="2"/>
        <v>7.2979934973410288</v>
      </c>
      <c r="J44" s="151">
        <f t="shared" si="2"/>
        <v>7.4451022895145513</v>
      </c>
      <c r="K44" s="151">
        <f t="shared" si="2"/>
        <v>7.5951764168507649</v>
      </c>
      <c r="L44" s="151">
        <f t="shared" si="2"/>
        <v>7.748275652885277</v>
      </c>
      <c r="M44" s="151">
        <f t="shared" si="2"/>
        <v>7.9006335599829365</v>
      </c>
      <c r="N44" s="151">
        <f t="shared" si="2"/>
        <v>8.0559873506674844</v>
      </c>
      <c r="O44" s="151">
        <f t="shared" si="2"/>
        <v>8.2143959343755082</v>
      </c>
      <c r="P44" s="151">
        <f t="shared" si="2"/>
        <v>8.3759193789069268</v>
      </c>
      <c r="Q44" s="151">
        <f t="shared" si="2"/>
        <v>8.54061893320244</v>
      </c>
      <c r="R44" s="151">
        <f t="shared" si="2"/>
        <v>8.6720090582210485</v>
      </c>
      <c r="S44" s="151">
        <f t="shared" si="2"/>
        <v>8.8054205080508225</v>
      </c>
      <c r="T44" s="151">
        <f t="shared" si="2"/>
        <v>8.9408843790469277</v>
      </c>
      <c r="U44" s="151">
        <f t="shared" si="2"/>
        <v>9.0784322459553728</v>
      </c>
      <c r="V44" s="151">
        <f t="shared" si="2"/>
        <v>9.2180961692726697</v>
      </c>
    </row>
  </sheetData>
  <pageMargins left="0.75" right="0.75" top="1" bottom="1" header="0.5" footer="0.5"/>
  <pageSetup scale="64" orientation="landscape" r:id="rId1"/>
  <headerFooter alignWithMargins="0">
    <oddHeader>&amp;L&amp;12Enron's Generation&amp;RCONFIDENTIAL</oddHeader>
    <oddFooter>&amp;L&amp;D&amp;C&amp;F&amp;RPage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AS40"/>
  <sheetViews>
    <sheetView zoomScaleNormal="75" workbookViewId="0">
      <pane xSplit="1" ySplit="5" topLeftCell="B6" activePane="bottomRight" state="frozen"/>
      <selection pane="topRight"/>
      <selection pane="bottomLeft"/>
      <selection pane="bottomRight" activeCell="B6" sqref="B6"/>
    </sheetView>
  </sheetViews>
  <sheetFormatPr defaultRowHeight="12.75"/>
  <cols>
    <col min="1" max="1" width="35.5703125" style="5" customWidth="1"/>
    <col min="2" max="13" width="9" style="5" bestFit="1" customWidth="1"/>
    <col min="14" max="21" width="10.28515625" style="5" bestFit="1" customWidth="1"/>
    <col min="22" max="22" width="12.5703125" style="96" customWidth="1"/>
    <col min="23" max="23" width="9.7109375" style="96" bestFit="1" customWidth="1"/>
    <col min="24" max="24" width="9.7109375" style="5" bestFit="1" customWidth="1"/>
    <col min="25" max="25" width="7.28515625" style="5" bestFit="1" customWidth="1"/>
    <col min="26" max="45" width="7.7109375" style="5" bestFit="1" customWidth="1"/>
    <col min="46" max="16384" width="9.140625" style="5"/>
  </cols>
  <sheetData>
    <row r="2" spans="1:45" ht="18">
      <c r="A2" s="157" t="s">
        <v>137</v>
      </c>
      <c r="B2" s="158"/>
    </row>
    <row r="3" spans="1:45" ht="16.5" customHeight="1">
      <c r="A3" s="159"/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</row>
    <row r="4" spans="1:45">
      <c r="A4" s="159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</row>
    <row r="5" spans="1:45" s="96" customFormat="1" ht="13.5" thickBot="1">
      <c r="A5" s="162" t="s">
        <v>49</v>
      </c>
      <c r="B5" s="163">
        <v>2001</v>
      </c>
      <c r="C5" s="163">
        <v>2002</v>
      </c>
      <c r="D5" s="163">
        <v>2003</v>
      </c>
      <c r="E5" s="163">
        <v>2004</v>
      </c>
      <c r="F5" s="163">
        <v>2005</v>
      </c>
      <c r="G5" s="163">
        <v>2006</v>
      </c>
      <c r="H5" s="163">
        <v>2007</v>
      </c>
      <c r="I5" s="163">
        <v>2008</v>
      </c>
      <c r="J5" s="163">
        <v>2009</v>
      </c>
      <c r="K5" s="163">
        <v>2010</v>
      </c>
      <c r="L5" s="163">
        <v>2011</v>
      </c>
      <c r="M5" s="163">
        <v>2012</v>
      </c>
      <c r="N5" s="163">
        <v>2013</v>
      </c>
      <c r="O5" s="163">
        <v>2014</v>
      </c>
      <c r="P5" s="163">
        <v>2015</v>
      </c>
      <c r="Q5" s="163">
        <v>2016</v>
      </c>
      <c r="R5" s="163">
        <v>2017</v>
      </c>
      <c r="S5" s="163">
        <v>2018</v>
      </c>
      <c r="T5" s="163">
        <v>2019</v>
      </c>
      <c r="U5" s="163">
        <v>2020</v>
      </c>
      <c r="V5" s="164"/>
      <c r="W5" s="164"/>
      <c r="Y5" s="165">
        <f>SUM(Z5:AS5)-SUM(Z6:AS6)</f>
        <v>0</v>
      </c>
      <c r="Z5" s="166">
        <f t="shared" ref="Z5:AS5" si="0">B12</f>
        <v>6849.4233631044517</v>
      </c>
      <c r="AA5" s="166">
        <f t="shared" si="0"/>
        <v>7054.9060639975851</v>
      </c>
      <c r="AB5" s="166">
        <f t="shared" si="0"/>
        <v>7266.5532459175129</v>
      </c>
      <c r="AC5" s="166">
        <f t="shared" si="0"/>
        <v>7484.5498432950371</v>
      </c>
      <c r="AD5" s="166">
        <f t="shared" si="0"/>
        <v>7709.0863385938883</v>
      </c>
      <c r="AE5" s="166">
        <f t="shared" si="0"/>
        <v>7940.3589287517043</v>
      </c>
      <c r="AF5" s="166">
        <f t="shared" si="0"/>
        <v>8178.5696966142568</v>
      </c>
      <c r="AG5" s="166">
        <f t="shared" si="0"/>
        <v>8423.9267875126843</v>
      </c>
      <c r="AH5" s="166">
        <f t="shared" si="0"/>
        <v>8676.6445911380633</v>
      </c>
      <c r="AI5" s="166">
        <f t="shared" si="0"/>
        <v>8936.9439288722078</v>
      </c>
      <c r="AJ5" s="166">
        <f t="shared" si="0"/>
        <v>9205.0522467383726</v>
      </c>
      <c r="AK5" s="166">
        <f t="shared" si="0"/>
        <v>9481.2038141405228</v>
      </c>
      <c r="AL5" s="166">
        <f t="shared" si="0"/>
        <v>9765.6399285647367</v>
      </c>
      <c r="AM5" s="166">
        <f t="shared" si="0"/>
        <v>10058.609126421679</v>
      </c>
      <c r="AN5" s="166">
        <f t="shared" si="0"/>
        <v>10360.367400214333</v>
      </c>
      <c r="AO5" s="166">
        <f t="shared" si="0"/>
        <v>10671.178422220759</v>
      </c>
      <c r="AP5" s="166">
        <f t="shared" si="0"/>
        <v>10991.313774887383</v>
      </c>
      <c r="AQ5" s="166">
        <f t="shared" si="0"/>
        <v>11321.053188134003</v>
      </c>
      <c r="AR5" s="166">
        <f t="shared" si="0"/>
        <v>11660.684783778026</v>
      </c>
      <c r="AS5" s="166">
        <f t="shared" si="0"/>
        <v>12010.505327291365</v>
      </c>
    </row>
    <row r="6" spans="1:45">
      <c r="A6" s="167"/>
      <c r="B6" s="168"/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Y6" s="165">
        <v>0</v>
      </c>
      <c r="Z6" s="169">
        <f t="shared" ref="Z6:AS6" si="1">B19+1/3*B20</f>
        <v>6849.4233631044517</v>
      </c>
      <c r="AA6" s="169">
        <f t="shared" si="1"/>
        <v>7054.906063997586</v>
      </c>
      <c r="AB6" s="169">
        <f t="shared" si="1"/>
        <v>7266.5532459175129</v>
      </c>
      <c r="AC6" s="169">
        <f t="shared" si="1"/>
        <v>7484.5498432950371</v>
      </c>
      <c r="AD6" s="169">
        <f t="shared" si="1"/>
        <v>7709.0863385938883</v>
      </c>
      <c r="AE6" s="169">
        <f t="shared" si="1"/>
        <v>7940.3589287517052</v>
      </c>
      <c r="AF6" s="169">
        <f t="shared" si="1"/>
        <v>8178.5696966142577</v>
      </c>
      <c r="AG6" s="169">
        <f t="shared" si="1"/>
        <v>8423.9267875126825</v>
      </c>
      <c r="AH6" s="169">
        <f t="shared" si="1"/>
        <v>8676.6445911380652</v>
      </c>
      <c r="AI6" s="169">
        <f t="shared" si="1"/>
        <v>8936.9439288722078</v>
      </c>
      <c r="AJ6" s="169">
        <f t="shared" si="1"/>
        <v>9205.0522467383726</v>
      </c>
      <c r="AK6" s="169">
        <f t="shared" si="1"/>
        <v>9481.2038141405228</v>
      </c>
      <c r="AL6" s="169">
        <f t="shared" si="1"/>
        <v>9765.6399285647367</v>
      </c>
      <c r="AM6" s="169">
        <f t="shared" si="1"/>
        <v>10058.609126421681</v>
      </c>
      <c r="AN6" s="169">
        <f t="shared" si="1"/>
        <v>10360.367400214334</v>
      </c>
      <c r="AO6" s="169">
        <f t="shared" si="1"/>
        <v>10671.178422220761</v>
      </c>
      <c r="AP6" s="169">
        <f t="shared" si="1"/>
        <v>10991.313774887385</v>
      </c>
      <c r="AQ6" s="169">
        <f t="shared" si="1"/>
        <v>11321.053188134005</v>
      </c>
      <c r="AR6" s="169">
        <f t="shared" si="1"/>
        <v>11660.684783778024</v>
      </c>
      <c r="AS6" s="169">
        <f t="shared" si="1"/>
        <v>12010.505327291366</v>
      </c>
    </row>
    <row r="7" spans="1:45">
      <c r="A7" s="167"/>
      <c r="B7" s="170"/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</row>
    <row r="8" spans="1:45">
      <c r="A8" s="171" t="s">
        <v>50</v>
      </c>
      <c r="B8" s="160"/>
      <c r="C8" s="160"/>
      <c r="D8" s="160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72"/>
      <c r="W8" s="172"/>
    </row>
    <row r="9" spans="1:45">
      <c r="A9" s="173"/>
      <c r="B9" s="174"/>
      <c r="C9" s="174"/>
      <c r="D9" s="174"/>
      <c r="E9" s="174"/>
      <c r="F9" s="174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2"/>
      <c r="W9" s="172"/>
    </row>
    <row r="10" spans="1:45">
      <c r="A10" s="173" t="s">
        <v>227</v>
      </c>
      <c r="B10" s="174"/>
      <c r="C10" s="174"/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W10" s="176"/>
      <c r="X10" s="178"/>
      <c r="Y10" s="178"/>
    </row>
    <row r="11" spans="1:45">
      <c r="A11" s="175" t="s">
        <v>51</v>
      </c>
      <c r="B11" s="174">
        <f>SUM(Wheatland!B9,Wilton!B9,Gleason!B9)</f>
        <v>109276.41154835936</v>
      </c>
      <c r="C11" s="174">
        <f>SUM(Wheatland!C9,Wilton!C9,Gleason!C9)</f>
        <v>114692.63482331166</v>
      </c>
      <c r="D11" s="174">
        <f>SUM(Wheatland!D9,Wilton!D9,Gleason!D9)</f>
        <v>120378.00417940944</v>
      </c>
      <c r="E11" s="174">
        <f>SUM(Wheatland!E9,Wilton!E9,Gleason!E9)</f>
        <v>126345.92902746696</v>
      </c>
      <c r="F11" s="174">
        <f>SUM(Wheatland!F9,Wilton!F9,Gleason!F9)</f>
        <v>132610.48860999092</v>
      </c>
      <c r="G11" s="174">
        <f>SUM(Wheatland!G9,Wilton!G9,Gleason!G9)</f>
        <v>134987.36003162767</v>
      </c>
      <c r="H11" s="174">
        <f>SUM(Wheatland!H9,Wilton!H9,Gleason!H9)</f>
        <v>137408.39096357551</v>
      </c>
      <c r="I11" s="174">
        <f>SUM(Wheatland!I9,Wilton!I9,Gleason!I9)</f>
        <v>139874.42437597518</v>
      </c>
      <c r="J11" s="174">
        <f>SUM(Wheatland!J9,Wilton!J9,Gleason!J9)</f>
        <v>142386.31964532915</v>
      </c>
      <c r="K11" s="174">
        <f>SUM(Wheatland!K9,Wilton!K9,Gleason!K9)</f>
        <v>144944.95287808945</v>
      </c>
      <c r="L11" s="174">
        <f>SUM(Wheatland!L9,Wilton!L9,Gleason!L9)</f>
        <v>147458.37068910556</v>
      </c>
      <c r="M11" s="174">
        <f>SUM(Wheatland!M9,Wilton!M9,Gleason!M9)</f>
        <v>150016.69454140024</v>
      </c>
      <c r="N11" s="174">
        <f>SUM(Wheatland!N9,Wilton!N9,Gleason!N9)</f>
        <v>152620.74576588528</v>
      </c>
      <c r="O11" s="174">
        <f>SUM(Wheatland!O9,Wilton!O9,Gleason!O9)</f>
        <v>155271.36098160915</v>
      </c>
      <c r="P11" s="174">
        <f>SUM(Wheatland!P9,Wilton!P9,Gleason!P9)</f>
        <v>157969.39238397393</v>
      </c>
      <c r="Q11" s="174">
        <f>SUM(Wheatland!Q9,Wilton!Q9,Gleason!Q9)</f>
        <v>160333.20116273584</v>
      </c>
      <c r="R11" s="174">
        <f>SUM(Wheatland!R9,Wilton!R9,Gleason!R9)</f>
        <v>162732.41687500384</v>
      </c>
      <c r="S11" s="174">
        <f>SUM(Wheatland!S9,Wilton!S9,Gleason!S9)</f>
        <v>165167.57039319634</v>
      </c>
      <c r="T11" s="174">
        <f>SUM(Wheatland!T9,Wilton!T9,Gleason!T9)</f>
        <v>167639.20055695012</v>
      </c>
      <c r="U11" s="174">
        <f>SUM(Wheatland!U9,Wilton!U9,Gleason!U9)</f>
        <v>170147.85429280144</v>
      </c>
      <c r="W11" s="176">
        <f>SUM(B11:U11)</f>
        <v>2892261.7237257976</v>
      </c>
      <c r="X11" s="177">
        <f>SUM(Wheatland!W9,Wilton!W9,Gleason!W9)</f>
        <v>2892261.7237257967</v>
      </c>
      <c r="Y11" s="177">
        <f>W11-X11</f>
        <v>0</v>
      </c>
    </row>
    <row r="12" spans="1:45">
      <c r="A12" s="175" t="s">
        <v>52</v>
      </c>
      <c r="B12" s="174">
        <f>SUM(Wheatland!B10,Wilton!B10,Gleason!B10)</f>
        <v>6849.4233631044517</v>
      </c>
      <c r="C12" s="174">
        <f>SUM(Wheatland!C10,Wilton!C10,Gleason!C10)</f>
        <v>7054.9060639975851</v>
      </c>
      <c r="D12" s="174">
        <f>SUM(Wheatland!D10,Wilton!D10,Gleason!D10)</f>
        <v>7266.5532459175129</v>
      </c>
      <c r="E12" s="174">
        <f>SUM(Wheatland!E10,Wilton!E10,Gleason!E10)</f>
        <v>7484.5498432950371</v>
      </c>
      <c r="F12" s="174">
        <f>SUM(Wheatland!F10,Wilton!F10,Gleason!F10)</f>
        <v>7709.0863385938883</v>
      </c>
      <c r="G12" s="174">
        <f>SUM(Wheatland!G10,Wilton!G10,Gleason!G10)</f>
        <v>7940.3589287517043</v>
      </c>
      <c r="H12" s="174">
        <f>SUM(Wheatland!H10,Wilton!H10,Gleason!H10)</f>
        <v>8178.5696966142568</v>
      </c>
      <c r="I12" s="174">
        <f>SUM(Wheatland!I10,Wilton!I10,Gleason!I10)</f>
        <v>8423.9267875126843</v>
      </c>
      <c r="J12" s="174">
        <f>SUM(Wheatland!J10,Wilton!J10,Gleason!J10)</f>
        <v>8676.6445911380633</v>
      </c>
      <c r="K12" s="174">
        <f>SUM(Wheatland!K10,Wilton!K10,Gleason!K10)</f>
        <v>8936.9439288722078</v>
      </c>
      <c r="L12" s="174">
        <f>SUM(Wheatland!L10,Wilton!L10,Gleason!L10)</f>
        <v>9205.0522467383726</v>
      </c>
      <c r="M12" s="174">
        <f>SUM(Wheatland!M10,Wilton!M10,Gleason!M10)</f>
        <v>9481.2038141405228</v>
      </c>
      <c r="N12" s="174">
        <f>SUM(Wheatland!N10,Wilton!N10,Gleason!N10)</f>
        <v>9765.6399285647367</v>
      </c>
      <c r="O12" s="174">
        <f>SUM(Wheatland!O10,Wilton!O10,Gleason!O10)</f>
        <v>10058.609126421679</v>
      </c>
      <c r="P12" s="174">
        <f>SUM(Wheatland!P10,Wilton!P10,Gleason!P10)</f>
        <v>10360.367400214333</v>
      </c>
      <c r="Q12" s="174">
        <f>SUM(Wheatland!Q10,Wilton!Q10,Gleason!Q10)</f>
        <v>10671.178422220759</v>
      </c>
      <c r="R12" s="174">
        <f>SUM(Wheatland!R10,Wilton!R10,Gleason!R10)</f>
        <v>10991.313774887383</v>
      </c>
      <c r="S12" s="174">
        <f>SUM(Wheatland!S10,Wilton!S10,Gleason!S10)</f>
        <v>11321.053188134003</v>
      </c>
      <c r="T12" s="174">
        <f>SUM(Wheatland!T10,Wilton!T10,Gleason!T10)</f>
        <v>11660.684783778026</v>
      </c>
      <c r="U12" s="174">
        <f>SUM(Wheatland!U10,Wilton!U10,Gleason!U10)</f>
        <v>12010.505327291365</v>
      </c>
      <c r="W12" s="176">
        <f>SUM(B12:U12)</f>
        <v>184046.57080018858</v>
      </c>
      <c r="X12" s="177">
        <f>SUM(Wheatland!W10,Wilton!W10,Gleason!W10)</f>
        <v>184046.57080018858</v>
      </c>
      <c r="Y12" s="177">
        <f>W12-X12</f>
        <v>0</v>
      </c>
    </row>
    <row r="13" spans="1:45">
      <c r="A13" s="175"/>
      <c r="B13" s="174"/>
      <c r="C13" s="174"/>
      <c r="D13" s="174"/>
      <c r="E13" s="174"/>
      <c r="F13" s="174"/>
      <c r="G13" s="174"/>
      <c r="H13" s="174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W13" s="176"/>
      <c r="X13" s="177"/>
      <c r="Y13" s="177"/>
    </row>
    <row r="14" spans="1:45">
      <c r="A14" s="175" t="s">
        <v>152</v>
      </c>
      <c r="B14" s="179">
        <f>SUM(Wheatland!B12,Wilton!B12,Gleason!B12)</f>
        <v>1266.0114106329752</v>
      </c>
      <c r="C14" s="179">
        <f>SUM(Wheatland!C12,Wilton!C12,Gleason!C12)</f>
        <v>1328.997880042745</v>
      </c>
      <c r="D14" s="179">
        <f>SUM(Wheatland!D12,Wilton!D12,Gleason!D12)</f>
        <v>1395.3770372989252</v>
      </c>
      <c r="E14" s="179">
        <f>SUM(Wheatland!E12,Wilton!E12,Gleason!E12)</f>
        <v>1466.5489061552289</v>
      </c>
      <c r="F14" s="179">
        <f>SUM(Wheatland!F12,Wilton!F12,Gleason!F12)</f>
        <v>1541.7114211815101</v>
      </c>
      <c r="G14" s="179">
        <f>SUM(Wheatland!G12,Wilton!G12,Gleason!G12)</f>
        <v>1566.2039490455218</v>
      </c>
      <c r="H14" s="179">
        <f>SUM(Wheatland!H12,Wilton!H12,Gleason!H12)</f>
        <v>1591.7885453327078</v>
      </c>
      <c r="I14" s="179">
        <f>SUM(Wheatland!I12,Wilton!I12,Gleason!I12)</f>
        <v>1618.6057741561563</v>
      </c>
      <c r="J14" s="179">
        <f>SUM(Wheatland!J12,Wilton!J12,Gleason!J12)</f>
        <v>1647.1623448930654</v>
      </c>
      <c r="K14" s="179">
        <f>SUM(Wheatland!K12,Wilton!K12,Gleason!K12)</f>
        <v>1677.1917140601322</v>
      </c>
      <c r="L14" s="179">
        <f>SUM(Wheatland!L12,Wilton!L12,Gleason!L12)</f>
        <v>1703.8014928096027</v>
      </c>
      <c r="M14" s="179">
        <f>SUM(Wheatland!M12,Wilton!M12,Gleason!M12)</f>
        <v>1732.8182988748872</v>
      </c>
      <c r="N14" s="179">
        <f>SUM(Wheatland!N12,Wilton!N12,Gleason!N12)</f>
        <v>1757.9488419463783</v>
      </c>
      <c r="O14" s="179">
        <f>SUM(Wheatland!O12,Wilton!O12,Gleason!O12)</f>
        <v>1787.9241139827964</v>
      </c>
      <c r="P14" s="179">
        <f>SUM(Wheatland!P12,Wilton!P12,Gleason!P12)</f>
        <v>1812.9384277989011</v>
      </c>
      <c r="Q14" s="179">
        <f>SUM(Wheatland!Q12,Wilton!Q12,Gleason!Q12)</f>
        <v>1846.1784816375452</v>
      </c>
      <c r="R14" s="179">
        <f>SUM(Wheatland!R12,Wilton!R12,Gleason!R12)</f>
        <v>1872.5106681527425</v>
      </c>
      <c r="S14" s="179">
        <f>SUM(Wheatland!S12,Wilton!S12,Gleason!S12)</f>
        <v>1899.1771337644439</v>
      </c>
      <c r="T14" s="179">
        <f>SUM(Wheatland!T12,Wilton!T12,Gleason!T12)</f>
        <v>1926.1812028603331</v>
      </c>
      <c r="U14" s="179">
        <f>SUM(Wheatland!U12,Wilton!U12,Gleason!U12)</f>
        <v>1953.5261993250379</v>
      </c>
      <c r="W14" s="176">
        <f>SUM(B14:U14)</f>
        <v>33392.603843951634</v>
      </c>
      <c r="X14" s="177">
        <f>SUM(Wheatland!W12,Wilton!W12,Gleason!W12)</f>
        <v>33392.603843951634</v>
      </c>
      <c r="Y14" s="177">
        <f>W14-X14</f>
        <v>0</v>
      </c>
    </row>
    <row r="15" spans="1:45">
      <c r="A15" s="175" t="s">
        <v>53</v>
      </c>
      <c r="B15" s="174">
        <f t="shared" ref="B15:U15" si="2">SUM(B10:B14)</f>
        <v>117391.84632209678</v>
      </c>
      <c r="C15" s="174">
        <f t="shared" si="2"/>
        <v>123076.53876735199</v>
      </c>
      <c r="D15" s="174">
        <f t="shared" si="2"/>
        <v>129039.93446262588</v>
      </c>
      <c r="E15" s="174">
        <f t="shared" si="2"/>
        <v>135297.02777691721</v>
      </c>
      <c r="F15" s="174">
        <f t="shared" si="2"/>
        <v>141861.28636976631</v>
      </c>
      <c r="G15" s="174">
        <f t="shared" si="2"/>
        <v>144493.9229094249</v>
      </c>
      <c r="H15" s="174">
        <f t="shared" si="2"/>
        <v>147178.74920552247</v>
      </c>
      <c r="I15" s="174">
        <f t="shared" si="2"/>
        <v>149916.95693764405</v>
      </c>
      <c r="J15" s="174">
        <f t="shared" si="2"/>
        <v>152710.12658136027</v>
      </c>
      <c r="K15" s="174">
        <f t="shared" si="2"/>
        <v>155559.0885210218</v>
      </c>
      <c r="L15" s="174">
        <f t="shared" si="2"/>
        <v>158367.22442865354</v>
      </c>
      <c r="M15" s="174">
        <f t="shared" si="2"/>
        <v>161230.71665441565</v>
      </c>
      <c r="N15" s="174">
        <f t="shared" si="2"/>
        <v>164144.3345363964</v>
      </c>
      <c r="O15" s="174">
        <f t="shared" si="2"/>
        <v>167117.89422201362</v>
      </c>
      <c r="P15" s="174">
        <f t="shared" si="2"/>
        <v>170142.69821198715</v>
      </c>
      <c r="Q15" s="174">
        <f t="shared" si="2"/>
        <v>172850.55806659415</v>
      </c>
      <c r="R15" s="174">
        <f t="shared" si="2"/>
        <v>175596.24131804396</v>
      </c>
      <c r="S15" s="174">
        <f t="shared" si="2"/>
        <v>178387.80071509478</v>
      </c>
      <c r="T15" s="174">
        <f t="shared" si="2"/>
        <v>181226.0665435885</v>
      </c>
      <c r="U15" s="174">
        <f t="shared" si="2"/>
        <v>184111.88581941783</v>
      </c>
      <c r="W15" s="176">
        <f>SUM(B15:U15)</f>
        <v>3109700.8983699372</v>
      </c>
      <c r="X15" s="177">
        <f>SUM(Wheatland!W13,Wilton!W13,Gleason!W13)</f>
        <v>3109700.8983699377</v>
      </c>
      <c r="Y15" s="177">
        <f>W15-X15</f>
        <v>0</v>
      </c>
    </row>
    <row r="16" spans="1:45">
      <c r="A16" s="175"/>
      <c r="B16" s="174"/>
      <c r="C16" s="174"/>
      <c r="D16" s="174"/>
      <c r="E16" s="174"/>
      <c r="F16" s="174"/>
      <c r="G16" s="174"/>
      <c r="H16" s="174"/>
      <c r="I16" s="174"/>
      <c r="J16" s="174"/>
      <c r="K16" s="174"/>
      <c r="L16" s="174"/>
      <c r="M16" s="174"/>
      <c r="N16" s="174"/>
      <c r="O16" s="174"/>
      <c r="P16" s="174"/>
      <c r="Q16" s="174"/>
      <c r="R16" s="174"/>
      <c r="S16" s="174"/>
      <c r="T16" s="174"/>
      <c r="U16" s="174"/>
      <c r="W16" s="176"/>
      <c r="X16" s="178"/>
      <c r="Y16" s="178"/>
    </row>
    <row r="17" spans="1:25">
      <c r="A17" s="171" t="s">
        <v>54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  <c r="S17" s="180"/>
      <c r="T17" s="180"/>
      <c r="U17" s="180"/>
      <c r="W17" s="176"/>
      <c r="X17" s="178"/>
      <c r="Y17" s="178"/>
    </row>
    <row r="18" spans="1:25">
      <c r="A18" s="175" t="s">
        <v>41</v>
      </c>
      <c r="B18" s="174">
        <f>SUM(Wheatland!B16,Wilton!B16,Gleason!B16)</f>
        <v>4333.0169485714287</v>
      </c>
      <c r="C18" s="174">
        <f>SUM(Wheatland!C16,Wilton!C16,Gleason!C16)</f>
        <v>4463.0074570285715</v>
      </c>
      <c r="D18" s="174">
        <f>SUM(Wheatland!D16,Wilton!D16,Gleason!D16)</f>
        <v>4596.8976807394292</v>
      </c>
      <c r="E18" s="174">
        <f>SUM(Wheatland!E16,Wilton!E16,Gleason!E16)</f>
        <v>4734.8046111616122</v>
      </c>
      <c r="F18" s="174">
        <f>SUM(Wheatland!F16,Wilton!F16,Gleason!F16)</f>
        <v>4876.8487494964602</v>
      </c>
      <c r="G18" s="174">
        <f>SUM(Wheatland!G16,Wilton!G16,Gleason!G16)</f>
        <v>5023.1542119813539</v>
      </c>
      <c r="H18" s="174">
        <f>SUM(Wheatland!H16,Wilton!H16,Gleason!H16)</f>
        <v>5173.8488383407948</v>
      </c>
      <c r="I18" s="174">
        <f>SUM(Wheatland!I16,Wilton!I16,Gleason!I16)</f>
        <v>5329.064303491019</v>
      </c>
      <c r="J18" s="174">
        <f>SUM(Wheatland!J16,Wilton!J16,Gleason!J16)</f>
        <v>5488.93623259575</v>
      </c>
      <c r="K18" s="174">
        <f>SUM(Wheatland!K16,Wilton!K16,Gleason!K16)</f>
        <v>5653.6043195736229</v>
      </c>
      <c r="L18" s="174">
        <f>SUM(Wheatland!L16,Wilton!L16,Gleason!L16)</f>
        <v>5823.212449160832</v>
      </c>
      <c r="M18" s="174">
        <f>SUM(Wheatland!M16,Wilton!M16,Gleason!M16)</f>
        <v>5997.9088226356562</v>
      </c>
      <c r="N18" s="174">
        <f>SUM(Wheatland!N16,Wilton!N16,Gleason!N16)</f>
        <v>6177.8460873147269</v>
      </c>
      <c r="O18" s="174">
        <f>SUM(Wheatland!O16,Wilton!O16,Gleason!O16)</f>
        <v>6363.1814699341685</v>
      </c>
      <c r="P18" s="174">
        <f>SUM(Wheatland!P16,Wilton!P16,Gleason!P16)</f>
        <v>6554.0769140321936</v>
      </c>
      <c r="Q18" s="174">
        <f>SUM(Wheatland!Q16,Wilton!Q16,Gleason!Q16)</f>
        <v>6750.6992214531601</v>
      </c>
      <c r="R18" s="174">
        <f>SUM(Wheatland!R16,Wilton!R16,Gleason!R16)</f>
        <v>6953.2201980967548</v>
      </c>
      <c r="S18" s="174">
        <f>SUM(Wheatland!S16,Wilton!S16,Gleason!S16)</f>
        <v>7161.8168040396567</v>
      </c>
      <c r="T18" s="174">
        <f>SUM(Wheatland!T16,Wilton!T16,Gleason!T16)</f>
        <v>7376.6713081608477</v>
      </c>
      <c r="U18" s="174">
        <f>SUM(Wheatland!U16,Wilton!U16,Gleason!U16)</f>
        <v>7597.9714474056727</v>
      </c>
      <c r="W18" s="176">
        <f t="shared" ref="W18:W24" si="3">SUM(B18:U18)</f>
        <v>116429.78807521368</v>
      </c>
      <c r="X18" s="177">
        <f>SUM(Wheatland!W16,Wilton!W16,Gleason!W16)</f>
        <v>116429.7880752137</v>
      </c>
      <c r="Y18" s="177">
        <f t="shared" ref="Y18:Y24" si="4">W18-X18</f>
        <v>0</v>
      </c>
    </row>
    <row r="19" spans="1:25">
      <c r="A19" s="175" t="s">
        <v>42</v>
      </c>
      <c r="B19" s="174">
        <f>SUM(Wheatland!B17,Wilton!B17,Gleason!B17)</f>
        <v>6373.0483631044517</v>
      </c>
      <c r="C19" s="174">
        <f>SUM(Wheatland!C17,Wilton!C17,Gleason!C17)</f>
        <v>6564.2398139975858</v>
      </c>
      <c r="D19" s="174">
        <f>SUM(Wheatland!D17,Wilton!D17,Gleason!D17)</f>
        <v>6761.167008417513</v>
      </c>
      <c r="E19" s="174">
        <f>SUM(Wheatland!E17,Wilton!E17,Gleason!E17)</f>
        <v>6964.0020186700367</v>
      </c>
      <c r="F19" s="174">
        <f>SUM(Wheatland!F17,Wilton!F17,Gleason!F17)</f>
        <v>7172.9220792301385</v>
      </c>
      <c r="G19" s="174">
        <f>SUM(Wheatland!G17,Wilton!G17,Gleason!G17)</f>
        <v>7388.1097416070425</v>
      </c>
      <c r="H19" s="174">
        <f>SUM(Wheatland!H17,Wilton!H17,Gleason!H17)</f>
        <v>7609.7530338552551</v>
      </c>
      <c r="I19" s="174">
        <f>SUM(Wheatland!I17,Wilton!I17,Gleason!I17)</f>
        <v>7838.0456248709106</v>
      </c>
      <c r="J19" s="174">
        <f>SUM(Wheatland!J17,Wilton!J17,Gleason!J17)</f>
        <v>8073.1869936170388</v>
      </c>
      <c r="K19" s="174">
        <f>SUM(Wheatland!K17,Wilton!K17,Gleason!K17)</f>
        <v>8315.3826034255508</v>
      </c>
      <c r="L19" s="174">
        <f>SUM(Wheatland!L17,Wilton!L17,Gleason!L17)</f>
        <v>8564.8440815283157</v>
      </c>
      <c r="M19" s="174">
        <f>SUM(Wheatland!M17,Wilton!M17,Gleason!M17)</f>
        <v>8821.7894039741641</v>
      </c>
      <c r="N19" s="174">
        <f>SUM(Wheatland!N17,Wilton!N17,Gleason!N17)</f>
        <v>9086.443086093388</v>
      </c>
      <c r="O19" s="174">
        <f>SUM(Wheatland!O17,Wilton!O17,Gleason!O17)</f>
        <v>9359.0363786761918</v>
      </c>
      <c r="P19" s="174">
        <f>SUM(Wheatland!P17,Wilton!P17,Gleason!P17)</f>
        <v>9639.8074700364796</v>
      </c>
      <c r="Q19" s="174">
        <f>SUM(Wheatland!Q17,Wilton!Q17,Gleason!Q17)</f>
        <v>9929.0016941375707</v>
      </c>
      <c r="R19" s="174">
        <f>SUM(Wheatland!R17,Wilton!R17,Gleason!R17)</f>
        <v>10226.8717449617</v>
      </c>
      <c r="S19" s="174">
        <f>SUM(Wheatland!S17,Wilton!S17,Gleason!S17)</f>
        <v>10533.677897310548</v>
      </c>
      <c r="T19" s="174">
        <f>SUM(Wheatland!T17,Wilton!T17,Gleason!T17)</f>
        <v>10849.688234229865</v>
      </c>
      <c r="U19" s="174">
        <f>SUM(Wheatland!U17,Wilton!U17,Gleason!U17)</f>
        <v>11175.178881256763</v>
      </c>
      <c r="W19" s="176">
        <f t="shared" si="3"/>
        <v>171246.19615300049</v>
      </c>
      <c r="X19" s="177">
        <f>SUM(Wheatland!W17,Wilton!W17,Gleason!W17)</f>
        <v>171246.19615300052</v>
      </c>
      <c r="Y19" s="177">
        <f t="shared" si="4"/>
        <v>0</v>
      </c>
    </row>
    <row r="20" spans="1:25">
      <c r="A20" s="175" t="s">
        <v>217</v>
      </c>
      <c r="B20" s="174">
        <f>SUM(Wheatland!B18,Wilton!B18,Gleason!B18)</f>
        <v>1429.125</v>
      </c>
      <c r="C20" s="174">
        <f>SUM(Wheatland!C18,Wilton!C18,Gleason!C18)</f>
        <v>1471.99875</v>
      </c>
      <c r="D20" s="174">
        <f>SUM(Wheatland!D18,Wilton!D18,Gleason!D18)</f>
        <v>1516.1587125000001</v>
      </c>
      <c r="E20" s="174">
        <f>SUM(Wheatland!E18,Wilton!E18,Gleason!E18)</f>
        <v>1561.6434738750002</v>
      </c>
      <c r="F20" s="174">
        <f>SUM(Wheatland!F18,Wilton!F18,Gleason!F18)</f>
        <v>1608.4927780912501</v>
      </c>
      <c r="G20" s="174">
        <f>SUM(Wheatland!G18,Wilton!G18,Gleason!G18)</f>
        <v>1656.7475614339876</v>
      </c>
      <c r="H20" s="174">
        <f>SUM(Wheatland!H18,Wilton!H18,Gleason!H18)</f>
        <v>1706.4499882770074</v>
      </c>
      <c r="I20" s="174">
        <f>SUM(Wheatland!I18,Wilton!I18,Gleason!I18)</f>
        <v>1757.6434879253177</v>
      </c>
      <c r="J20" s="174">
        <f>SUM(Wheatland!J18,Wilton!J18,Gleason!J18)</f>
        <v>1810.3727925630774</v>
      </c>
      <c r="K20" s="174">
        <f>SUM(Wheatland!K18,Wilton!K18,Gleason!K18)</f>
        <v>1864.6839763399698</v>
      </c>
      <c r="L20" s="174">
        <f>SUM(Wheatland!L18,Wilton!L18,Gleason!L18)</f>
        <v>1920.6244956301687</v>
      </c>
      <c r="M20" s="174">
        <f>SUM(Wheatland!M18,Wilton!M18,Gleason!M18)</f>
        <v>1978.2432304990739</v>
      </c>
      <c r="N20" s="174">
        <f>SUM(Wheatland!N18,Wilton!N18,Gleason!N18)</f>
        <v>2037.5905274140459</v>
      </c>
      <c r="O20" s="174">
        <f>SUM(Wheatland!O18,Wilton!O18,Gleason!O18)</f>
        <v>2098.7182432364675</v>
      </c>
      <c r="P20" s="174">
        <f>SUM(Wheatland!P18,Wilton!P18,Gleason!P18)</f>
        <v>2161.6797905335616</v>
      </c>
      <c r="Q20" s="174">
        <f>SUM(Wheatland!Q18,Wilton!Q18,Gleason!Q18)</f>
        <v>2226.5301842495687</v>
      </c>
      <c r="R20" s="174">
        <f>SUM(Wheatland!R18,Wilton!R18,Gleason!R18)</f>
        <v>2293.3260897770556</v>
      </c>
      <c r="S20" s="174">
        <f>SUM(Wheatland!S18,Wilton!S18,Gleason!S18)</f>
        <v>2362.1258724703671</v>
      </c>
      <c r="T20" s="174">
        <f>SUM(Wheatland!T18,Wilton!T18,Gleason!T18)</f>
        <v>2432.9896486444786</v>
      </c>
      <c r="U20" s="174">
        <f>SUM(Wheatland!U18,Wilton!U18,Gleason!U18)</f>
        <v>2505.9793381038126</v>
      </c>
      <c r="W20" s="176">
        <f t="shared" si="3"/>
        <v>38401.123941564205</v>
      </c>
      <c r="X20" s="177">
        <f>SUM(Wheatland!W18,Wilton!W18,Gleason!W18)</f>
        <v>38401.123941564205</v>
      </c>
      <c r="Y20" s="177">
        <f t="shared" si="4"/>
        <v>0</v>
      </c>
    </row>
    <row r="21" spans="1:25">
      <c r="A21" s="175" t="s">
        <v>99</v>
      </c>
      <c r="B21" s="174">
        <f>SUM(Wheatland!B19,Wilton!B19,Gleason!B19)</f>
        <v>1060.04098</v>
      </c>
      <c r="C21" s="174">
        <f>SUM(Wheatland!C19,Wilton!C19,Gleason!C19)</f>
        <v>1091.8422094</v>
      </c>
      <c r="D21" s="174">
        <f>SUM(Wheatland!D19,Wilton!D19,Gleason!D19)</f>
        <v>1124.5974756820001</v>
      </c>
      <c r="E21" s="174">
        <f>SUM(Wheatland!E19,Wilton!E19,Gleason!E19)</f>
        <v>1158.33539995246</v>
      </c>
      <c r="F21" s="174">
        <f>SUM(Wheatland!F19,Wilton!F19,Gleason!F19)</f>
        <v>1193.0854619510339</v>
      </c>
      <c r="G21" s="174">
        <f>SUM(Wheatland!G19,Wilton!G19,Gleason!G19)</f>
        <v>1228.8780258095649</v>
      </c>
      <c r="H21" s="174">
        <f>SUM(Wheatland!H19,Wilton!H19,Gleason!H19)</f>
        <v>1265.7443665838518</v>
      </c>
      <c r="I21" s="174">
        <f>SUM(Wheatland!I19,Wilton!I19,Gleason!I19)</f>
        <v>1303.7166975813675</v>
      </c>
      <c r="J21" s="174">
        <f>SUM(Wheatland!J19,Wilton!J19,Gleason!J19)</f>
        <v>1342.8281985088083</v>
      </c>
      <c r="K21" s="174">
        <f>SUM(Wheatland!K19,Wilton!K19,Gleason!K19)</f>
        <v>1383.1130444640728</v>
      </c>
      <c r="L21" s="174">
        <f>SUM(Wheatland!L19,Wilton!L19,Gleason!L19)</f>
        <v>1424.6064357979949</v>
      </c>
      <c r="M21" s="174">
        <f>SUM(Wheatland!M19,Wilton!M19,Gleason!M19)</f>
        <v>1467.3446288719349</v>
      </c>
      <c r="N21" s="174">
        <f>SUM(Wheatland!N19,Wilton!N19,Gleason!N19)</f>
        <v>1511.3649677380929</v>
      </c>
      <c r="O21" s="174">
        <f>SUM(Wheatland!O19,Wilton!O19,Gleason!O19)</f>
        <v>1556.7059167702359</v>
      </c>
      <c r="P21" s="174">
        <f>SUM(Wheatland!P19,Wilton!P19,Gleason!P19)</f>
        <v>1603.4070942733431</v>
      </c>
      <c r="Q21" s="174">
        <f>SUM(Wheatland!Q19,Wilton!Q19,Gleason!Q19)</f>
        <v>1651.5093071015431</v>
      </c>
      <c r="R21" s="174">
        <f>SUM(Wheatland!R19,Wilton!R19,Gleason!R19)</f>
        <v>1701.0545863145896</v>
      </c>
      <c r="S21" s="174">
        <f>SUM(Wheatland!S19,Wilton!S19,Gleason!S19)</f>
        <v>1752.0862239040271</v>
      </c>
      <c r="T21" s="174">
        <f>SUM(Wheatland!T19,Wilton!T19,Gleason!T19)</f>
        <v>1804.6488106211482</v>
      </c>
      <c r="U21" s="174">
        <f>SUM(Wheatland!U19,Wilton!U19,Gleason!U19)</f>
        <v>1858.7882749397825</v>
      </c>
      <c r="W21" s="176">
        <f t="shared" si="3"/>
        <v>28483.698106265852</v>
      </c>
      <c r="X21" s="177">
        <f>SUM(Wheatland!W19,Wilton!W19,Gleason!W19)</f>
        <v>28483.698106265852</v>
      </c>
      <c r="Y21" s="177">
        <f t="shared" si="4"/>
        <v>0</v>
      </c>
    </row>
    <row r="22" spans="1:25" ht="14.25" customHeight="1">
      <c r="A22" s="175" t="s">
        <v>175</v>
      </c>
      <c r="B22" s="174">
        <f>SUM(Wheatland!B20,Wilton!B20,Gleason!B20)</f>
        <v>746.46</v>
      </c>
      <c r="C22" s="174">
        <f>SUM(Wheatland!C20,Wilton!C20,Gleason!C20)</f>
        <v>1050.307</v>
      </c>
      <c r="D22" s="174">
        <f>SUM(Wheatland!D20,Wilton!D20,Gleason!D20)</f>
        <v>1248.0929999999998</v>
      </c>
      <c r="E22" s="174">
        <f>SUM(Wheatland!E20,Wilton!E20,Gleason!E20)</f>
        <v>1339.135</v>
      </c>
      <c r="F22" s="174">
        <f>SUM(Wheatland!F20,Wilton!F20,Gleason!F20)</f>
        <v>1401.501</v>
      </c>
      <c r="G22" s="174">
        <f>SUM(Wheatland!G20,Wilton!G20,Gleason!G20)</f>
        <v>1623.5369999999998</v>
      </c>
      <c r="H22" s="174">
        <f>SUM(Wheatland!H20,Wilton!H20,Gleason!H20)</f>
        <v>1795.9389999999999</v>
      </c>
      <c r="I22" s="174">
        <f>SUM(Wheatland!I20,Wilton!I20,Gleason!I20)</f>
        <v>1908.1120000000001</v>
      </c>
      <c r="J22" s="174">
        <f>SUM(Wheatland!J20,Wilton!J20,Gleason!J20)</f>
        <v>1920.1799999999998</v>
      </c>
      <c r="K22" s="174">
        <f>SUM(Wheatland!K20,Wilton!K20,Gleason!K20)</f>
        <v>1854.1379999999999</v>
      </c>
      <c r="L22" s="174">
        <f>SUM(Wheatland!L20,Wilton!L20,Gleason!L20)</f>
        <v>2009.2130000000002</v>
      </c>
      <c r="M22" s="174">
        <f>SUM(Wheatland!M20,Wilton!M20,Gleason!M20)</f>
        <v>2009.1799999999998</v>
      </c>
      <c r="N22" s="174">
        <f>SUM(Wheatland!N20,Wilton!N20,Gleason!N20)</f>
        <v>2358.1</v>
      </c>
      <c r="O22" s="174">
        <f>SUM(Wheatland!O20,Wilton!O20,Gleason!O20)</f>
        <v>2358.1</v>
      </c>
      <c r="P22" s="174">
        <f>SUM(Wheatland!P20,Wilton!P20,Gleason!P20)</f>
        <v>2794.25</v>
      </c>
      <c r="Q22" s="174">
        <f>SUM(Wheatland!Q20,Wilton!Q20,Gleason!Q20)</f>
        <v>2229.731045</v>
      </c>
      <c r="R22" s="174">
        <f>SUM(Wheatland!R20,Wilton!R20,Gleason!R20)</f>
        <v>2244.6096659</v>
      </c>
      <c r="S22" s="174">
        <f>SUM(Wheatland!S20,Wilton!S20,Gleason!S20)</f>
        <v>2259.785859218</v>
      </c>
      <c r="T22" s="174">
        <f>SUM(Wheatland!T20,Wilton!T20,Gleason!T20)</f>
        <v>2275.2655764023598</v>
      </c>
      <c r="U22" s="174">
        <f>SUM(Wheatland!U20,Wilton!U20,Gleason!U20)</f>
        <v>2291.0548879304069</v>
      </c>
      <c r="W22" s="176">
        <f t="shared" si="3"/>
        <v>37716.69203445076</v>
      </c>
      <c r="X22" s="177">
        <f>SUM(Wheatland!W20,Wilton!W20,Gleason!W20)</f>
        <v>37716.69203445076</v>
      </c>
      <c r="Y22" s="177">
        <f t="shared" si="4"/>
        <v>0</v>
      </c>
    </row>
    <row r="23" spans="1:25">
      <c r="A23" s="175" t="s">
        <v>199</v>
      </c>
      <c r="B23" s="179">
        <f>SUM(Wheatland!B21,Wilton!B21,Gleason!B21)</f>
        <v>903.2307691499268</v>
      </c>
      <c r="C23" s="179">
        <f>SUM(Wheatland!C21,Wilton!C21,Gleason!C21)</f>
        <v>786.3152534634836</v>
      </c>
      <c r="D23" s="179">
        <f>SUM(Wheatland!D21,Wilton!D21,Gleason!D21)</f>
        <v>767.48056407403146</v>
      </c>
      <c r="E23" s="179">
        <f>SUM(Wheatland!E21,Wilton!E21,Gleason!E21)</f>
        <v>748.64587468457933</v>
      </c>
      <c r="F23" s="179">
        <f>SUM(Wheatland!F21,Wilton!F21,Gleason!F21)</f>
        <v>729.81118529512707</v>
      </c>
      <c r="G23" s="179">
        <f>SUM(Wheatland!G21,Wilton!G21,Gleason!G21)</f>
        <v>710.97649590567494</v>
      </c>
      <c r="H23" s="179">
        <f>SUM(Wheatland!H21,Wilton!H21,Gleason!H21)</f>
        <v>692.1418065162228</v>
      </c>
      <c r="I23" s="179">
        <f>SUM(Wheatland!I21,Wilton!I21,Gleason!I21)</f>
        <v>673.30711712677066</v>
      </c>
      <c r="J23" s="179">
        <f>SUM(Wheatland!J21,Wilton!J21,Gleason!J21)</f>
        <v>654.47242773731841</v>
      </c>
      <c r="K23" s="179">
        <f>SUM(Wheatland!K21,Wilton!K21,Gleason!K21)</f>
        <v>635.63773834786628</v>
      </c>
      <c r="L23" s="179">
        <f>SUM(Wheatland!L21,Wilton!L21,Gleason!L21)</f>
        <v>616.80304895841402</v>
      </c>
      <c r="M23" s="179">
        <f>SUM(Wheatland!M21,Wilton!M21,Gleason!M21)</f>
        <v>597.96835956896189</v>
      </c>
      <c r="N23" s="179">
        <f>SUM(Wheatland!N21,Wilton!N21,Gleason!N21)</f>
        <v>579.13367017950975</v>
      </c>
      <c r="O23" s="179">
        <f>SUM(Wheatland!O21,Wilton!O21,Gleason!O21)</f>
        <v>560.2989807900575</v>
      </c>
      <c r="P23" s="179">
        <f>SUM(Wheatland!P21,Wilton!P21,Gleason!P21)</f>
        <v>541.46429140060536</v>
      </c>
      <c r="Q23" s="179">
        <f>SUM(Wheatland!Q21,Wilton!Q21,Gleason!Q21)</f>
        <v>522.62960201115322</v>
      </c>
      <c r="R23" s="179">
        <f>SUM(Wheatland!R21,Wilton!R21,Gleason!R21)</f>
        <v>503.79491262170097</v>
      </c>
      <c r="S23" s="179">
        <f>SUM(Wheatland!S21,Wilton!S21,Gleason!S21)</f>
        <v>484.96022323224884</v>
      </c>
      <c r="T23" s="179">
        <f>SUM(Wheatland!T21,Wilton!T21,Gleason!T21)</f>
        <v>466.1255338427967</v>
      </c>
      <c r="U23" s="179">
        <f>SUM(Wheatland!U21,Wilton!U21,Gleason!U21)</f>
        <v>447.29084445334445</v>
      </c>
      <c r="V23" s="172"/>
      <c r="W23" s="176">
        <f t="shared" si="3"/>
        <v>12622.488699359794</v>
      </c>
      <c r="X23" s="177">
        <f>SUM(Wheatland!W21,Wilton!W21,Gleason!W21)</f>
        <v>12622.488699359796</v>
      </c>
      <c r="Y23" s="177">
        <f t="shared" si="4"/>
        <v>0</v>
      </c>
    </row>
    <row r="24" spans="1:25">
      <c r="A24" s="175" t="s">
        <v>55</v>
      </c>
      <c r="B24" s="174">
        <f t="shared" ref="B24:U24" si="5">SUM(B18:B23)</f>
        <v>14844.922060825807</v>
      </c>
      <c r="C24" s="174">
        <f t="shared" si="5"/>
        <v>15427.710483889641</v>
      </c>
      <c r="D24" s="174">
        <f t="shared" si="5"/>
        <v>16014.394441412973</v>
      </c>
      <c r="E24" s="174">
        <f t="shared" si="5"/>
        <v>16506.566378343687</v>
      </c>
      <c r="F24" s="174">
        <f t="shared" si="5"/>
        <v>16982.661254064009</v>
      </c>
      <c r="G24" s="174">
        <f t="shared" si="5"/>
        <v>17631.403036737622</v>
      </c>
      <c r="H24" s="174">
        <f t="shared" si="5"/>
        <v>18243.877033573128</v>
      </c>
      <c r="I24" s="174">
        <f t="shared" si="5"/>
        <v>18809.889230995384</v>
      </c>
      <c r="J24" s="174">
        <f t="shared" si="5"/>
        <v>19289.97664502199</v>
      </c>
      <c r="K24" s="174">
        <f t="shared" si="5"/>
        <v>19706.559682151081</v>
      </c>
      <c r="L24" s="174">
        <f t="shared" si="5"/>
        <v>20359.303511075723</v>
      </c>
      <c r="M24" s="174">
        <f t="shared" si="5"/>
        <v>20872.434445549789</v>
      </c>
      <c r="N24" s="174">
        <f t="shared" si="5"/>
        <v>21750.478338739758</v>
      </c>
      <c r="O24" s="174">
        <f t="shared" si="5"/>
        <v>22296.040989407116</v>
      </c>
      <c r="P24" s="174">
        <f t="shared" si="5"/>
        <v>23294.685560276179</v>
      </c>
      <c r="Q24" s="174">
        <f t="shared" si="5"/>
        <v>23310.101053952996</v>
      </c>
      <c r="R24" s="174">
        <f t="shared" si="5"/>
        <v>23922.877197671802</v>
      </c>
      <c r="S24" s="174">
        <f t="shared" si="5"/>
        <v>24554.452880174846</v>
      </c>
      <c r="T24" s="174">
        <f t="shared" si="5"/>
        <v>25205.389111901495</v>
      </c>
      <c r="U24" s="174">
        <f t="shared" si="5"/>
        <v>25876.263674089783</v>
      </c>
      <c r="W24" s="176">
        <f t="shared" si="3"/>
        <v>404899.98700985481</v>
      </c>
      <c r="X24" s="177">
        <f>SUM(Wheatland!W22,Wilton!W22,Gleason!W22)</f>
        <v>404899.98700985487</v>
      </c>
      <c r="Y24" s="177">
        <f t="shared" si="4"/>
        <v>0</v>
      </c>
    </row>
    <row r="25" spans="1:25">
      <c r="A25" s="181"/>
      <c r="B25" s="182"/>
      <c r="C25" s="182"/>
      <c r="D25" s="182"/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W25" s="176"/>
      <c r="X25" s="178"/>
      <c r="Y25" s="178"/>
    </row>
    <row r="26" spans="1:25">
      <c r="A26" s="183"/>
      <c r="B26" s="184"/>
      <c r="C26" s="184"/>
      <c r="D26" s="184"/>
      <c r="E26" s="184"/>
      <c r="F26" s="184"/>
      <c r="G26" s="184"/>
      <c r="H26" s="184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W26" s="176"/>
      <c r="X26" s="178"/>
      <c r="Y26" s="178"/>
    </row>
    <row r="27" spans="1:25">
      <c r="A27" s="171" t="s">
        <v>56</v>
      </c>
      <c r="B27" s="185">
        <f t="shared" ref="B27:U27" si="6">B15-B24</f>
        <v>102546.92426127098</v>
      </c>
      <c r="C27" s="185">
        <f t="shared" si="6"/>
        <v>107648.82828346235</v>
      </c>
      <c r="D27" s="185">
        <f t="shared" si="6"/>
        <v>113025.54002121292</v>
      </c>
      <c r="E27" s="185">
        <f t="shared" si="6"/>
        <v>118790.46139857352</v>
      </c>
      <c r="F27" s="185">
        <f t="shared" si="6"/>
        <v>124878.62511570231</v>
      </c>
      <c r="G27" s="185">
        <f t="shared" si="6"/>
        <v>126862.51987268728</v>
      </c>
      <c r="H27" s="185">
        <f t="shared" si="6"/>
        <v>128934.87217194935</v>
      </c>
      <c r="I27" s="185">
        <f t="shared" si="6"/>
        <v>131107.06770664867</v>
      </c>
      <c r="J27" s="185">
        <f t="shared" si="6"/>
        <v>133420.14993633828</v>
      </c>
      <c r="K27" s="185">
        <f t="shared" si="6"/>
        <v>135852.52883887073</v>
      </c>
      <c r="L27" s="185">
        <f t="shared" si="6"/>
        <v>138007.92091757781</v>
      </c>
      <c r="M27" s="185">
        <f t="shared" si="6"/>
        <v>140358.28220886586</v>
      </c>
      <c r="N27" s="185">
        <f t="shared" si="6"/>
        <v>142393.85619765666</v>
      </c>
      <c r="O27" s="185">
        <f t="shared" si="6"/>
        <v>144821.85323260652</v>
      </c>
      <c r="P27" s="185">
        <f t="shared" si="6"/>
        <v>146848.01265171097</v>
      </c>
      <c r="Q27" s="185">
        <f t="shared" si="6"/>
        <v>149540.45701264116</v>
      </c>
      <c r="R27" s="185">
        <f t="shared" si="6"/>
        <v>151673.36412037216</v>
      </c>
      <c r="S27" s="185">
        <f t="shared" si="6"/>
        <v>153833.34783491993</v>
      </c>
      <c r="T27" s="185">
        <f t="shared" si="6"/>
        <v>156020.67743168701</v>
      </c>
      <c r="U27" s="185">
        <f t="shared" si="6"/>
        <v>158235.62214532806</v>
      </c>
      <c r="W27" s="176">
        <f>SUM(B27:U27)</f>
        <v>2704800.9113600827</v>
      </c>
      <c r="X27" s="177">
        <f>SUM(Wheatland!W25,Wilton!W25,Gleason!W25)</f>
        <v>2704800.9113600827</v>
      </c>
      <c r="Y27" s="177">
        <f>W27-X27</f>
        <v>0</v>
      </c>
    </row>
    <row r="28" spans="1:25">
      <c r="A28" s="171"/>
      <c r="B28" s="182"/>
      <c r="C28" s="182"/>
      <c r="D28" s="182"/>
      <c r="E28" s="182"/>
      <c r="F28" s="182"/>
      <c r="G28" s="182"/>
      <c r="H28" s="182"/>
      <c r="I28" s="182"/>
      <c r="J28" s="182"/>
      <c r="K28" s="182"/>
      <c r="L28" s="182"/>
      <c r="M28" s="182"/>
      <c r="N28" s="182"/>
      <c r="O28" s="182"/>
      <c r="P28" s="182"/>
      <c r="Q28" s="182"/>
      <c r="R28" s="182"/>
      <c r="S28" s="182"/>
      <c r="T28" s="182"/>
      <c r="U28" s="182"/>
      <c r="W28" s="176"/>
      <c r="X28" s="178"/>
      <c r="Y28" s="178"/>
    </row>
    <row r="29" spans="1:25">
      <c r="A29" s="175" t="s">
        <v>57</v>
      </c>
      <c r="B29" s="174">
        <f>Depreciation!C34</f>
        <v>24065.890704470534</v>
      </c>
      <c r="C29" s="174">
        <f>Depreciation!D34</f>
        <v>24065.890704470534</v>
      </c>
      <c r="D29" s="174">
        <f>Depreciation!E34</f>
        <v>24065.890704470534</v>
      </c>
      <c r="E29" s="174">
        <f>Depreciation!F34</f>
        <v>24065.890704470534</v>
      </c>
      <c r="F29" s="174">
        <f>Depreciation!G34</f>
        <v>24065.890704470534</v>
      </c>
      <c r="G29" s="174">
        <f>Depreciation!H34</f>
        <v>24065.890704470534</v>
      </c>
      <c r="H29" s="174">
        <f>Depreciation!I34</f>
        <v>24065.890704470534</v>
      </c>
      <c r="I29" s="174">
        <f>Depreciation!J34</f>
        <v>24065.890704470534</v>
      </c>
      <c r="J29" s="174">
        <f>Depreciation!K34</f>
        <v>24065.890704470534</v>
      </c>
      <c r="K29" s="174">
        <f>Depreciation!L34</f>
        <v>24065.890704470534</v>
      </c>
      <c r="L29" s="174">
        <f>Depreciation!M34</f>
        <v>24065.890704470534</v>
      </c>
      <c r="M29" s="174">
        <f>Depreciation!N34</f>
        <v>24065.890704470534</v>
      </c>
      <c r="N29" s="174">
        <f>Depreciation!O34</f>
        <v>24065.890704470534</v>
      </c>
      <c r="O29" s="174">
        <f>Depreciation!P34</f>
        <v>24065.890704470534</v>
      </c>
      <c r="P29" s="174">
        <f>Depreciation!Q34</f>
        <v>24065.890704470534</v>
      </c>
      <c r="Q29" s="174">
        <f>Depreciation!R34</f>
        <v>24065.890704470534</v>
      </c>
      <c r="R29" s="174">
        <f>Depreciation!S34</f>
        <v>24065.890704470534</v>
      </c>
      <c r="S29" s="174">
        <f>Depreciation!T34</f>
        <v>24065.890704470534</v>
      </c>
      <c r="T29" s="174">
        <f>Depreciation!U34</f>
        <v>24065.890704470534</v>
      </c>
      <c r="U29" s="174">
        <f>Depreciation!V34</f>
        <v>24065.890704470534</v>
      </c>
      <c r="W29" s="176">
        <f>SUM(B29:U29)</f>
        <v>481317.81408941053</v>
      </c>
      <c r="X29" s="177">
        <f>SUM(Wheatland!W27,Wilton!W27,Gleason!W27)</f>
        <v>481317.81408941076</v>
      </c>
      <c r="Y29" s="177">
        <f>W29-X29</f>
        <v>0</v>
      </c>
    </row>
    <row r="30" spans="1:25">
      <c r="A30" s="175"/>
      <c r="B30" s="174"/>
      <c r="C30" s="174"/>
      <c r="D30" s="174"/>
      <c r="E30" s="174"/>
      <c r="F30" s="174"/>
      <c r="G30" s="174"/>
      <c r="H30" s="174"/>
      <c r="I30" s="174"/>
      <c r="J30" s="174"/>
      <c r="K30" s="174"/>
      <c r="L30" s="174"/>
      <c r="M30" s="174"/>
      <c r="N30" s="174"/>
      <c r="O30" s="174"/>
      <c r="P30" s="174"/>
      <c r="Q30" s="174"/>
      <c r="R30" s="174"/>
      <c r="S30" s="174"/>
      <c r="T30" s="174"/>
      <c r="U30" s="174"/>
      <c r="W30" s="176"/>
      <c r="X30" s="178"/>
      <c r="Y30" s="178"/>
    </row>
    <row r="31" spans="1:25">
      <c r="A31" s="171" t="s">
        <v>58</v>
      </c>
      <c r="B31" s="185">
        <f t="shared" ref="B31:U31" si="7">B27-B29</f>
        <v>78481.033556800452</v>
      </c>
      <c r="C31" s="185">
        <f t="shared" si="7"/>
        <v>83582.937578991812</v>
      </c>
      <c r="D31" s="185">
        <f t="shared" si="7"/>
        <v>88959.649316742376</v>
      </c>
      <c r="E31" s="185">
        <f t="shared" si="7"/>
        <v>94724.570694102993</v>
      </c>
      <c r="F31" s="185">
        <f t="shared" si="7"/>
        <v>100812.73441123177</v>
      </c>
      <c r="G31" s="185">
        <f t="shared" si="7"/>
        <v>102796.62916821675</v>
      </c>
      <c r="H31" s="185">
        <f t="shared" si="7"/>
        <v>104868.98146747882</v>
      </c>
      <c r="I31" s="185">
        <f t="shared" si="7"/>
        <v>107041.17700217813</v>
      </c>
      <c r="J31" s="185">
        <f t="shared" si="7"/>
        <v>109354.25923186773</v>
      </c>
      <c r="K31" s="185">
        <f t="shared" si="7"/>
        <v>111786.63813440019</v>
      </c>
      <c r="L31" s="185">
        <f t="shared" si="7"/>
        <v>113942.03021310727</v>
      </c>
      <c r="M31" s="185">
        <f t="shared" si="7"/>
        <v>116292.39150439532</v>
      </c>
      <c r="N31" s="185">
        <f t="shared" si="7"/>
        <v>118327.96549318612</v>
      </c>
      <c r="O31" s="185">
        <f t="shared" si="7"/>
        <v>120755.96252813598</v>
      </c>
      <c r="P31" s="185">
        <f t="shared" si="7"/>
        <v>122782.12194724043</v>
      </c>
      <c r="Q31" s="185">
        <f t="shared" si="7"/>
        <v>125474.56630817062</v>
      </c>
      <c r="R31" s="185">
        <f t="shared" si="7"/>
        <v>127607.47341590162</v>
      </c>
      <c r="S31" s="185">
        <f t="shared" si="7"/>
        <v>129767.45713044939</v>
      </c>
      <c r="T31" s="185">
        <f t="shared" si="7"/>
        <v>131954.78672721647</v>
      </c>
      <c r="U31" s="185">
        <f t="shared" si="7"/>
        <v>134169.73144085752</v>
      </c>
      <c r="W31" s="176">
        <f>SUM(B31:U31)</f>
        <v>2223483.0972706722</v>
      </c>
      <c r="X31" s="177">
        <f>SUM(Wheatland!W29,Wilton!W29,Gleason!W29)</f>
        <v>2223483.0972706717</v>
      </c>
      <c r="Y31" s="177">
        <f>W31-X31</f>
        <v>0</v>
      </c>
    </row>
    <row r="32" spans="1:25">
      <c r="A32" s="171"/>
      <c r="B32" s="185"/>
      <c r="C32" s="185"/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5"/>
      <c r="W32" s="176"/>
      <c r="X32" s="178"/>
      <c r="Y32" s="178"/>
    </row>
    <row r="33" spans="1:25">
      <c r="A33" s="175" t="s">
        <v>59</v>
      </c>
      <c r="B33" s="174">
        <f>Debt!B91</f>
        <v>39067.838466803558</v>
      </c>
      <c r="C33" s="174">
        <f>Debt!C91</f>
        <v>39175.167693360709</v>
      </c>
      <c r="D33" s="174">
        <f>Debt!D91</f>
        <v>39175.167693360709</v>
      </c>
      <c r="E33" s="174">
        <f>Debt!E91</f>
        <v>39152.966461327858</v>
      </c>
      <c r="F33" s="174">
        <f>Debt!F91</f>
        <v>38482.974811772758</v>
      </c>
      <c r="G33" s="174">
        <f>Debt!G91</f>
        <v>37751.227104722791</v>
      </c>
      <c r="H33" s="174">
        <f>Debt!H91</f>
        <v>36928.841204654345</v>
      </c>
      <c r="I33" s="174">
        <f>Debt!I91</f>
        <v>36121.092402464063</v>
      </c>
      <c r="J33" s="174">
        <f>Debt!J91</f>
        <v>34999.76495550992</v>
      </c>
      <c r="K33" s="174">
        <f>Debt!K91</f>
        <v>33815.555099247089</v>
      </c>
      <c r="L33" s="174">
        <f>Debt!L91</f>
        <v>31797.328952772077</v>
      </c>
      <c r="M33" s="174">
        <f>Debt!M91</f>
        <v>28564.725311430528</v>
      </c>
      <c r="N33" s="174">
        <f>Debt!N91</f>
        <v>25171.467214236825</v>
      </c>
      <c r="O33" s="174">
        <f>Debt!O91</f>
        <v>21858.536344969198</v>
      </c>
      <c r="P33" s="174">
        <f>Debt!P91</f>
        <v>18503.853470225873</v>
      </c>
      <c r="Q33" s="174">
        <f>Debt!Q91</f>
        <v>15027.091362080768</v>
      </c>
      <c r="R33" s="174">
        <f>Debt!R91</f>
        <v>11339.300095824779</v>
      </c>
      <c r="S33" s="174">
        <f>Debt!S91</f>
        <v>7862.0841615331965</v>
      </c>
      <c r="T33" s="174">
        <f>Debt!T91</f>
        <v>4880.4463791923345</v>
      </c>
      <c r="U33" s="174">
        <f>Debt!U91</f>
        <v>1906.0698151950719</v>
      </c>
      <c r="W33" s="176">
        <f>SUM(B33:U33)</f>
        <v>541581.49900068436</v>
      </c>
      <c r="X33" s="177">
        <f>SUM(Wheatland!W31,Wilton!W31,Gleason!W31)</f>
        <v>541581.49900068447</v>
      </c>
      <c r="Y33" s="177">
        <f>W33-X33</f>
        <v>0</v>
      </c>
    </row>
    <row r="34" spans="1:25">
      <c r="A34" s="6"/>
      <c r="B34" s="174"/>
      <c r="C34" s="174"/>
      <c r="D34" s="174"/>
      <c r="E34" s="174"/>
      <c r="F34" s="174"/>
      <c r="G34" s="174"/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W34" s="176"/>
      <c r="X34" s="178"/>
      <c r="Y34" s="178"/>
    </row>
    <row r="35" spans="1:25">
      <c r="A35" s="171" t="s">
        <v>60</v>
      </c>
      <c r="B35" s="185">
        <f t="shared" ref="B35:U35" si="8">B31-B33</f>
        <v>39413.195089996894</v>
      </c>
      <c r="C35" s="185">
        <f t="shared" si="8"/>
        <v>44407.769885631104</v>
      </c>
      <c r="D35" s="185">
        <f t="shared" si="8"/>
        <v>49784.481623381667</v>
      </c>
      <c r="E35" s="185">
        <f t="shared" si="8"/>
        <v>55571.604232775135</v>
      </c>
      <c r="F35" s="185">
        <f t="shared" si="8"/>
        <v>62329.759599459008</v>
      </c>
      <c r="G35" s="185">
        <f t="shared" si="8"/>
        <v>65045.402063493959</v>
      </c>
      <c r="H35" s="185">
        <f t="shared" si="8"/>
        <v>67940.140262824483</v>
      </c>
      <c r="I35" s="185">
        <f t="shared" si="8"/>
        <v>70920.084599714057</v>
      </c>
      <c r="J35" s="185">
        <f t="shared" si="8"/>
        <v>74354.494276357815</v>
      </c>
      <c r="K35" s="185">
        <f t="shared" si="8"/>
        <v>77971.083035153104</v>
      </c>
      <c r="L35" s="185">
        <f t="shared" si="8"/>
        <v>82144.70126033519</v>
      </c>
      <c r="M35" s="185">
        <f t="shared" si="8"/>
        <v>87727.666192964796</v>
      </c>
      <c r="N35" s="185">
        <f t="shared" si="8"/>
        <v>93156.498278949293</v>
      </c>
      <c r="O35" s="185">
        <f t="shared" si="8"/>
        <v>98897.426183166783</v>
      </c>
      <c r="P35" s="185">
        <f t="shared" si="8"/>
        <v>104278.26847701456</v>
      </c>
      <c r="Q35" s="185">
        <f t="shared" si="8"/>
        <v>110447.47494608985</v>
      </c>
      <c r="R35" s="185">
        <f t="shared" si="8"/>
        <v>116268.17332007684</v>
      </c>
      <c r="S35" s="185">
        <f t="shared" si="8"/>
        <v>121905.37296891618</v>
      </c>
      <c r="T35" s="185">
        <f t="shared" si="8"/>
        <v>127074.34034802414</v>
      </c>
      <c r="U35" s="185">
        <f t="shared" si="8"/>
        <v>132263.66162566244</v>
      </c>
      <c r="W35" s="176">
        <f>SUM(B35:U35)</f>
        <v>1681901.5982699872</v>
      </c>
      <c r="X35" s="177">
        <f>SUM(Wheatland!W33,Wilton!W33,Gleason!W33)</f>
        <v>1681901.5982699872</v>
      </c>
      <c r="Y35" s="177">
        <f>W35-X35</f>
        <v>0</v>
      </c>
    </row>
    <row r="36" spans="1:25">
      <c r="A36" s="171"/>
      <c r="B36" s="185"/>
      <c r="C36" s="185"/>
      <c r="D36" s="185"/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W36" s="176"/>
      <c r="X36" s="178"/>
      <c r="Y36" s="178"/>
    </row>
    <row r="37" spans="1:25">
      <c r="A37" s="175" t="s">
        <v>61</v>
      </c>
      <c r="B37" s="174">
        <f>Wheatland!B35+Wilton!B35+Gleason!B35</f>
        <v>-2342.2343223775888</v>
      </c>
      <c r="C37" s="174">
        <f>Wheatland!C35+Wilton!C35+Gleason!C35</f>
        <v>-2642.42083873814</v>
      </c>
      <c r="D37" s="174">
        <f>Wheatland!D35+Wilton!D35+Gleason!D35</f>
        <v>-2963.8082729030411</v>
      </c>
      <c r="E37" s="174">
        <f>Wheatland!E35+Wilton!E35+Gleason!E35</f>
        <v>-3309.2272349576751</v>
      </c>
      <c r="F37" s="174">
        <f>Wheatland!F35+Wilton!F35+Gleason!F35</f>
        <v>-3712.2161427826204</v>
      </c>
      <c r="G37" s="174">
        <f>Wheatland!G35+Wilton!G35+Gleason!G35</f>
        <v>-3877.0428686758851</v>
      </c>
      <c r="H37" s="174">
        <f>Wheatland!H35+Wilton!H35+Gleason!H35</f>
        <v>-4053.5339505850066</v>
      </c>
      <c r="I37" s="174">
        <f>Wheatland!I35+Wilton!I35+Gleason!I35</f>
        <v>-4234.2232575756625</v>
      </c>
      <c r="J37" s="174">
        <f>Wheatland!J35+Wilton!J35+Gleason!J35</f>
        <v>-4440.6938947446579</v>
      </c>
      <c r="K37" s="174">
        <f>Wheatland!K35+Wilton!K35+Gleason!K35</f>
        <v>-4656.9175054818479</v>
      </c>
      <c r="L37" s="174">
        <f>Wheatland!L35+Wilton!L35+Gleason!L35</f>
        <v>-4914.7304810385376</v>
      </c>
      <c r="M37" s="174">
        <f>Wheatland!M35+Wilton!M35+Gleason!M35</f>
        <v>-5255.0276422240349</v>
      </c>
      <c r="N37" s="174">
        <f>Wheatland!N35+Wilton!N35+Gleason!N35</f>
        <v>-5586.2540230308332</v>
      </c>
      <c r="O37" s="174">
        <f>Wheatland!O35+Wilton!O35+Gleason!O35</f>
        <v>-5936.362525271451</v>
      </c>
      <c r="P37" s="174">
        <f>Wheatland!P35+Wilton!P35+Gleason!P35</f>
        <v>-6265.0386632471436</v>
      </c>
      <c r="Q37" s="174">
        <f>Wheatland!Q35+Wilton!Q35+Gleason!Q35</f>
        <v>-6636.3630991313667</v>
      </c>
      <c r="R37" s="174">
        <f>Wheatland!R35+Wilton!R35+Gleason!R35</f>
        <v>-6986.8175061225556</v>
      </c>
      <c r="S37" s="174">
        <f>Wheatland!S35+Wilton!S35+Gleason!S35</f>
        <v>-7326.2603620640002</v>
      </c>
      <c r="T37" s="174">
        <f>Wheatland!T35+Wilton!T35+Gleason!T35</f>
        <v>-7637.5793614699796</v>
      </c>
      <c r="U37" s="174">
        <f>Wheatland!U35+Wilton!U35+Gleason!U35</f>
        <v>-7950.139407065235</v>
      </c>
      <c r="W37" s="176">
        <f>SUM(B37:U37)</f>
        <v>-100726.89135948726</v>
      </c>
      <c r="X37" s="177">
        <f>SUM(Wheatland!W35,Wilton!W35,Gleason!W35)</f>
        <v>-100726.89135948727</v>
      </c>
      <c r="Y37" s="177">
        <f>W37-X37</f>
        <v>0</v>
      </c>
    </row>
    <row r="38" spans="1:25">
      <c r="A38" s="175" t="s">
        <v>62</v>
      </c>
      <c r="B38" s="174">
        <f>Wheatland!B36+Wilton!B36+Gleason!B36</f>
        <v>-12974.836268666753</v>
      </c>
      <c r="C38" s="174">
        <f>Wheatland!C36+Wilton!C36+Gleason!C36</f>
        <v>-14617.872166412531</v>
      </c>
      <c r="D38" s="174">
        <f>Wheatland!D36+Wilton!D36+Gleason!D36</f>
        <v>-16387.235672667528</v>
      </c>
      <c r="E38" s="174">
        <f>Wheatland!E36+Wilton!E36+Gleason!E36</f>
        <v>-18291.831949236119</v>
      </c>
      <c r="F38" s="174">
        <f>Wheatland!F36+Wilton!F36+Gleason!F36</f>
        <v>-20516.140209836743</v>
      </c>
      <c r="G38" s="174">
        <f>Wheatland!G36+Wilton!G36+Gleason!G36</f>
        <v>-21408.925718186314</v>
      </c>
      <c r="H38" s="174">
        <f>Wheatland!H36+Wilton!H36+Gleason!H36</f>
        <v>-22360.312209283806</v>
      </c>
      <c r="I38" s="174">
        <f>Wheatland!I36+Wilton!I36+Gleason!I36</f>
        <v>-23340.051469748429</v>
      </c>
      <c r="J38" s="174">
        <f>Wheatland!J36+Wilton!J36+Gleason!J36</f>
        <v>-24469.830133564617</v>
      </c>
      <c r="K38" s="174">
        <f>Wheatland!K36+Wilton!K36+Gleason!K36</f>
        <v>-25659.957935384929</v>
      </c>
      <c r="L38" s="174">
        <f>Wheatland!L36+Wilton!L36+Gleason!L36</f>
        <v>-27030.489772753826</v>
      </c>
      <c r="M38" s="174">
        <f>Wheatland!M36+Wilton!M36+Gleason!M36</f>
        <v>-28865.423492759262</v>
      </c>
      <c r="N38" s="174">
        <f>Wheatland!N36+Wilton!N36+Gleason!N36</f>
        <v>-30649.585489571444</v>
      </c>
      <c r="O38" s="174">
        <f>Wheatland!O36+Wilton!O36+Gleason!O36</f>
        <v>-32536.372280263353</v>
      </c>
      <c r="P38" s="174">
        <f>Wheatland!P36+Wilton!P36+Gleason!P36</f>
        <v>-34304.630434818602</v>
      </c>
      <c r="Q38" s="174">
        <f>Wheatland!Q36+Wilton!Q36+Gleason!Q36</f>
        <v>-36333.889146435467</v>
      </c>
      <c r="R38" s="174">
        <f>Wheatland!R36+Wilton!R36+Gleason!R36</f>
        <v>-38248.474534883986</v>
      </c>
      <c r="S38" s="174">
        <f>Wheatland!S36+Wilton!S36+Gleason!S36</f>
        <v>-40102.689412398271</v>
      </c>
      <c r="T38" s="174">
        <f>Wheatland!T36+Wilton!T36+Gleason!T36</f>
        <v>-41802.866345293936</v>
      </c>
      <c r="U38" s="174">
        <f>Wheatland!U36+Wilton!U36+Gleason!U36</f>
        <v>-43509.732776509023</v>
      </c>
      <c r="W38" s="176">
        <f>SUM(B38:U38)</f>
        <v>-553411.14741867501</v>
      </c>
      <c r="X38" s="177">
        <f>SUM(Wheatland!W36,Wilton!W36,Gleason!W36)</f>
        <v>-553411.1474186749</v>
      </c>
      <c r="Y38" s="177">
        <f>W38-X38</f>
        <v>0</v>
      </c>
    </row>
    <row r="39" spans="1:25">
      <c r="A39" s="6"/>
      <c r="B39" s="174"/>
      <c r="C39" s="174"/>
      <c r="D39" s="174"/>
      <c r="E39" s="174"/>
      <c r="F39" s="174"/>
      <c r="G39" s="174"/>
      <c r="H39" s="174"/>
      <c r="I39" s="174"/>
      <c r="J39" s="174"/>
      <c r="K39" s="174"/>
      <c r="L39" s="174"/>
      <c r="M39" s="174"/>
      <c r="N39" s="174"/>
      <c r="O39" s="174"/>
      <c r="P39" s="174"/>
      <c r="Q39" s="174"/>
      <c r="R39" s="174"/>
      <c r="S39" s="174"/>
      <c r="T39" s="174"/>
      <c r="U39" s="174"/>
      <c r="W39" s="176"/>
      <c r="X39" s="178"/>
      <c r="Y39" s="178"/>
    </row>
    <row r="40" spans="1:25" ht="15.75">
      <c r="A40" s="186" t="s">
        <v>63</v>
      </c>
      <c r="B40" s="187">
        <f>B35+B37+B38</f>
        <v>24096.124498952551</v>
      </c>
      <c r="C40" s="187">
        <f>C35+C37+C38</f>
        <v>27147.476880480433</v>
      </c>
      <c r="D40" s="187">
        <f t="shared" ref="D40:U40" si="9">D35+D37+D38</f>
        <v>30433.437677811096</v>
      </c>
      <c r="E40" s="187">
        <f t="shared" si="9"/>
        <v>33970.545048581342</v>
      </c>
      <c r="F40" s="187">
        <f t="shared" si="9"/>
        <v>38101.403246839647</v>
      </c>
      <c r="G40" s="187">
        <f t="shared" si="9"/>
        <v>39759.433476631762</v>
      </c>
      <c r="H40" s="187">
        <f t="shared" si="9"/>
        <v>41526.294102955668</v>
      </c>
      <c r="I40" s="187">
        <f t="shared" si="9"/>
        <v>43345.80987238996</v>
      </c>
      <c r="J40" s="187">
        <f t="shared" si="9"/>
        <v>45443.970248048536</v>
      </c>
      <c r="K40" s="187">
        <f t="shared" si="9"/>
        <v>47654.20759428633</v>
      </c>
      <c r="L40" s="187">
        <f t="shared" si="9"/>
        <v>50199.481006542825</v>
      </c>
      <c r="M40" s="187">
        <f t="shared" si="9"/>
        <v>53607.215057981492</v>
      </c>
      <c r="N40" s="187">
        <f t="shared" si="9"/>
        <v>56920.658766347013</v>
      </c>
      <c r="O40" s="187">
        <f t="shared" si="9"/>
        <v>60424.691377631971</v>
      </c>
      <c r="P40" s="187">
        <f t="shared" si="9"/>
        <v>63708.599378948806</v>
      </c>
      <c r="Q40" s="187">
        <f t="shared" si="9"/>
        <v>67477.222700523009</v>
      </c>
      <c r="R40" s="187">
        <f t="shared" si="9"/>
        <v>71032.881279070309</v>
      </c>
      <c r="S40" s="187">
        <f t="shared" si="9"/>
        <v>74476.423194453906</v>
      </c>
      <c r="T40" s="187">
        <f t="shared" si="9"/>
        <v>77633.894641260224</v>
      </c>
      <c r="U40" s="187">
        <f t="shared" si="9"/>
        <v>80803.789442088193</v>
      </c>
      <c r="W40" s="176">
        <f>SUM(B40:U40)</f>
        <v>1027763.5594918252</v>
      </c>
      <c r="X40" s="177">
        <f>SUM(Wheatland!W38,Wilton!W38,Gleason!W38)</f>
        <v>1027763.5594918251</v>
      </c>
      <c r="Y40" s="177">
        <f>W40-X40</f>
        <v>0</v>
      </c>
    </row>
  </sheetData>
  <pageMargins left="0.75" right="0.75" top="1" bottom="1" header="0.5" footer="0.5"/>
  <pageSetup scale="54" orientation="landscape" r:id="rId1"/>
  <headerFooter alignWithMargins="0">
    <oddHeader>&amp;L&amp;12Enron's Generation&amp;RCONFIDENTIAL</oddHeader>
    <oddFooter>&amp;L&amp;D&amp;C&amp;F&amp;RPage &amp;P</oddFooter>
  </headerFooter>
  <colBreaks count="1" manualBreakCount="1">
    <brk id="11" min="1" max="49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X112"/>
  <sheetViews>
    <sheetView zoomScaleNormal="75" workbookViewId="0">
      <pane xSplit="1" ySplit="5" topLeftCell="B6" activePane="bottomRight" state="frozen"/>
      <selection pane="topRight"/>
      <selection pane="bottomLeft"/>
      <selection pane="bottomRight" activeCell="B6" sqref="B6"/>
    </sheetView>
  </sheetViews>
  <sheetFormatPr defaultRowHeight="12.75"/>
  <cols>
    <col min="1" max="1" width="32" style="5" bestFit="1" customWidth="1"/>
    <col min="2" max="3" width="10.7109375" style="5" customWidth="1"/>
    <col min="4" max="4" width="10.7109375" style="5" bestFit="1" customWidth="1"/>
    <col min="5" max="5" width="10.7109375" style="5" customWidth="1"/>
    <col min="6" max="6" width="10.7109375" style="5" bestFit="1" customWidth="1"/>
    <col min="7" max="7" width="10.7109375" style="5" customWidth="1"/>
    <col min="8" max="11" width="10.7109375" style="5" bestFit="1" customWidth="1"/>
    <col min="12" max="12" width="10.7109375" style="5" customWidth="1"/>
    <col min="13" max="21" width="10.7109375" style="5" bestFit="1" customWidth="1"/>
    <col min="22" max="24" width="14.5703125" style="5" customWidth="1"/>
    <col min="25" max="16384" width="9.140625" style="5"/>
  </cols>
  <sheetData>
    <row r="1" spans="1:24">
      <c r="A1" s="188"/>
      <c r="C1" s="56"/>
      <c r="D1" s="189"/>
      <c r="E1" s="189"/>
      <c r="F1" s="60"/>
      <c r="G1" s="6"/>
      <c r="H1" s="6"/>
      <c r="I1" s="167"/>
      <c r="J1" s="167"/>
      <c r="K1" s="167"/>
      <c r="L1" s="60"/>
      <c r="M1" s="6"/>
      <c r="N1" s="6"/>
      <c r="O1" s="167"/>
      <c r="P1" s="167"/>
      <c r="Q1" s="167"/>
      <c r="R1" s="60"/>
      <c r="S1" s="6"/>
      <c r="T1" s="6"/>
      <c r="U1" s="6"/>
    </row>
    <row r="2" spans="1:24" ht="18">
      <c r="A2" s="157" t="s">
        <v>108</v>
      </c>
      <c r="B2" s="190"/>
      <c r="C2" s="56"/>
      <c r="D2" s="189"/>
      <c r="E2" s="189"/>
      <c r="F2" s="60"/>
      <c r="I2" s="56"/>
      <c r="J2" s="56"/>
      <c r="K2" s="56"/>
      <c r="L2" s="60"/>
      <c r="O2" s="56"/>
      <c r="P2" s="56"/>
      <c r="Q2" s="56"/>
      <c r="R2" s="60"/>
    </row>
    <row r="3" spans="1:24" s="9" customFormat="1">
      <c r="P3" s="191"/>
      <c r="Q3" s="191"/>
      <c r="R3" s="191"/>
      <c r="S3" s="191"/>
      <c r="T3" s="191"/>
      <c r="U3" s="191"/>
    </row>
    <row r="4" spans="1:24" s="194" customFormat="1">
      <c r="A4" s="192"/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</row>
    <row r="5" spans="1:24" ht="13.5" thickBot="1">
      <c r="A5" s="162" t="s">
        <v>49</v>
      </c>
      <c r="B5" s="195">
        <v>2001</v>
      </c>
      <c r="C5" s="195">
        <f>B5+1</f>
        <v>2002</v>
      </c>
      <c r="D5" s="195">
        <f t="shared" ref="D5:U5" si="0">C5+1</f>
        <v>2003</v>
      </c>
      <c r="E5" s="195">
        <f t="shared" si="0"/>
        <v>2004</v>
      </c>
      <c r="F5" s="195">
        <f t="shared" si="0"/>
        <v>2005</v>
      </c>
      <c r="G5" s="195">
        <f t="shared" si="0"/>
        <v>2006</v>
      </c>
      <c r="H5" s="195">
        <f t="shared" si="0"/>
        <v>2007</v>
      </c>
      <c r="I5" s="195">
        <f t="shared" si="0"/>
        <v>2008</v>
      </c>
      <c r="J5" s="195">
        <f t="shared" si="0"/>
        <v>2009</v>
      </c>
      <c r="K5" s="195">
        <f t="shared" si="0"/>
        <v>2010</v>
      </c>
      <c r="L5" s="195">
        <f t="shared" si="0"/>
        <v>2011</v>
      </c>
      <c r="M5" s="195">
        <f t="shared" si="0"/>
        <v>2012</v>
      </c>
      <c r="N5" s="195">
        <f t="shared" si="0"/>
        <v>2013</v>
      </c>
      <c r="O5" s="195">
        <f t="shared" si="0"/>
        <v>2014</v>
      </c>
      <c r="P5" s="195">
        <f t="shared" si="0"/>
        <v>2015</v>
      </c>
      <c r="Q5" s="195">
        <f t="shared" si="0"/>
        <v>2016</v>
      </c>
      <c r="R5" s="195">
        <f t="shared" si="0"/>
        <v>2017</v>
      </c>
      <c r="S5" s="195">
        <f t="shared" si="0"/>
        <v>2018</v>
      </c>
      <c r="T5" s="195">
        <f t="shared" si="0"/>
        <v>2019</v>
      </c>
      <c r="U5" s="195">
        <f t="shared" si="0"/>
        <v>2020</v>
      </c>
    </row>
    <row r="6" spans="1:24" s="198" customFormat="1">
      <c r="A6" s="196"/>
      <c r="B6" s="197">
        <v>37256</v>
      </c>
      <c r="C6" s="197">
        <v>37621</v>
      </c>
      <c r="D6" s="197">
        <v>37986</v>
      </c>
      <c r="E6" s="197">
        <v>38352</v>
      </c>
      <c r="F6" s="197">
        <v>38717</v>
      </c>
      <c r="G6" s="197">
        <v>39082</v>
      </c>
      <c r="H6" s="197">
        <v>39447</v>
      </c>
      <c r="I6" s="197">
        <v>39813</v>
      </c>
      <c r="J6" s="197">
        <v>40178</v>
      </c>
      <c r="K6" s="197">
        <v>40543</v>
      </c>
      <c r="L6" s="197">
        <v>40908</v>
      </c>
      <c r="M6" s="197">
        <v>41274</v>
      </c>
      <c r="N6" s="197">
        <v>41639</v>
      </c>
      <c r="O6" s="197">
        <v>42004</v>
      </c>
      <c r="P6" s="197">
        <v>42369</v>
      </c>
      <c r="Q6" s="197">
        <v>42735</v>
      </c>
      <c r="R6" s="197">
        <v>43100</v>
      </c>
      <c r="S6" s="197">
        <v>43465</v>
      </c>
      <c r="T6" s="197">
        <v>43830</v>
      </c>
      <c r="U6" s="197">
        <v>44196</v>
      </c>
    </row>
    <row r="7" spans="1:24">
      <c r="R7" s="9"/>
      <c r="S7" s="9"/>
      <c r="T7" s="9"/>
      <c r="U7" s="9"/>
    </row>
    <row r="8" spans="1:24">
      <c r="A8" s="26" t="s">
        <v>56</v>
      </c>
      <c r="B8" s="174">
        <f>IS!B27</f>
        <v>102546.92426127098</v>
      </c>
      <c r="C8" s="174">
        <f>IS!C27</f>
        <v>107648.82828346235</v>
      </c>
      <c r="D8" s="174">
        <f>IS!D27</f>
        <v>113025.54002121292</v>
      </c>
      <c r="E8" s="174">
        <f>IS!E27</f>
        <v>118790.46139857352</v>
      </c>
      <c r="F8" s="174">
        <f>IS!F27</f>
        <v>124878.62511570231</v>
      </c>
      <c r="G8" s="174">
        <f>IS!G27</f>
        <v>126862.51987268728</v>
      </c>
      <c r="H8" s="174">
        <f>IS!H27</f>
        <v>128934.87217194935</v>
      </c>
      <c r="I8" s="174">
        <f>IS!I27</f>
        <v>131107.06770664867</v>
      </c>
      <c r="J8" s="174">
        <f>IS!J27</f>
        <v>133420.14993633828</v>
      </c>
      <c r="K8" s="174">
        <f>IS!K27</f>
        <v>135852.52883887073</v>
      </c>
      <c r="L8" s="174">
        <f>IS!L27</f>
        <v>138007.92091757781</v>
      </c>
      <c r="M8" s="174">
        <f>IS!M27</f>
        <v>140358.28220886586</v>
      </c>
      <c r="N8" s="174">
        <f>IS!N27</f>
        <v>142393.85619765666</v>
      </c>
      <c r="O8" s="174">
        <f>IS!O27</f>
        <v>144821.85323260652</v>
      </c>
      <c r="P8" s="174">
        <f>IS!P27</f>
        <v>146848.01265171097</v>
      </c>
      <c r="Q8" s="174">
        <f>IS!Q27</f>
        <v>149540.45701264116</v>
      </c>
      <c r="R8" s="174">
        <f>IS!R27</f>
        <v>151673.36412037216</v>
      </c>
      <c r="S8" s="174">
        <f>IS!S27</f>
        <v>153833.34783491993</v>
      </c>
      <c r="T8" s="174">
        <f>IS!T27</f>
        <v>156020.67743168701</v>
      </c>
      <c r="U8" s="174">
        <f>IS!U27</f>
        <v>158235.62214532806</v>
      </c>
    </row>
    <row r="9" spans="1:24">
      <c r="B9" s="6"/>
      <c r="C9" s="199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4">
      <c r="A10" s="200" t="s">
        <v>13</v>
      </c>
      <c r="B10" s="6"/>
      <c r="C10" s="199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4">
      <c r="B11" s="201">
        <f>'Summary Output'!$B$14</f>
        <v>36892</v>
      </c>
      <c r="C11" s="201">
        <v>37257</v>
      </c>
      <c r="D11" s="201">
        <v>37622</v>
      </c>
      <c r="E11" s="201">
        <v>37987</v>
      </c>
      <c r="F11" s="201">
        <v>38353</v>
      </c>
      <c r="G11" s="201">
        <v>38718</v>
      </c>
      <c r="H11" s="201">
        <v>39083</v>
      </c>
      <c r="I11" s="201">
        <v>39448</v>
      </c>
      <c r="J11" s="201">
        <v>39814</v>
      </c>
      <c r="K11" s="201">
        <v>40179</v>
      </c>
      <c r="L11" s="201">
        <v>40544</v>
      </c>
      <c r="M11" s="201">
        <v>40909</v>
      </c>
      <c r="N11" s="201">
        <v>41275</v>
      </c>
      <c r="O11" s="201">
        <v>41640</v>
      </c>
      <c r="P11" s="201">
        <v>42005</v>
      </c>
      <c r="Q11" s="201">
        <v>42370</v>
      </c>
      <c r="R11" s="201">
        <v>42736</v>
      </c>
      <c r="S11" s="201">
        <v>43101</v>
      </c>
      <c r="T11" s="201">
        <v>43466</v>
      </c>
      <c r="U11" s="201">
        <v>43831</v>
      </c>
      <c r="W11" s="202" t="s">
        <v>147</v>
      </c>
      <c r="X11" s="202" t="s">
        <v>146</v>
      </c>
    </row>
    <row r="12" spans="1:24">
      <c r="A12" s="203" t="s">
        <v>70</v>
      </c>
      <c r="B12" s="204">
        <v>0</v>
      </c>
      <c r="C12" s="204">
        <f t="shared" ref="C12:U12" si="1">B28</f>
        <v>0</v>
      </c>
      <c r="D12" s="204">
        <f t="shared" si="1"/>
        <v>0</v>
      </c>
      <c r="E12" s="204">
        <f t="shared" si="1"/>
        <v>0</v>
      </c>
      <c r="F12" s="204">
        <f t="shared" si="1"/>
        <v>0</v>
      </c>
      <c r="G12" s="204">
        <f t="shared" si="1"/>
        <v>0</v>
      </c>
      <c r="H12" s="204">
        <f t="shared" si="1"/>
        <v>0</v>
      </c>
      <c r="I12" s="204">
        <f t="shared" si="1"/>
        <v>0</v>
      </c>
      <c r="J12" s="204">
        <f t="shared" si="1"/>
        <v>0</v>
      </c>
      <c r="K12" s="204">
        <f t="shared" si="1"/>
        <v>0</v>
      </c>
      <c r="L12" s="204">
        <f t="shared" si="1"/>
        <v>0</v>
      </c>
      <c r="M12" s="204">
        <f t="shared" si="1"/>
        <v>0</v>
      </c>
      <c r="N12" s="204">
        <f t="shared" si="1"/>
        <v>0</v>
      </c>
      <c r="O12" s="204">
        <f t="shared" si="1"/>
        <v>0</v>
      </c>
      <c r="P12" s="204">
        <f t="shared" si="1"/>
        <v>0</v>
      </c>
      <c r="Q12" s="204">
        <f t="shared" si="1"/>
        <v>0</v>
      </c>
      <c r="R12" s="204">
        <f t="shared" si="1"/>
        <v>0</v>
      </c>
      <c r="S12" s="204">
        <f t="shared" si="1"/>
        <v>0</v>
      </c>
      <c r="T12" s="204">
        <f t="shared" si="1"/>
        <v>0</v>
      </c>
      <c r="U12" s="204">
        <f t="shared" si="1"/>
        <v>0</v>
      </c>
      <c r="W12" s="205"/>
      <c r="X12" s="205"/>
    </row>
    <row r="13" spans="1:24">
      <c r="A13" s="203" t="s">
        <v>72</v>
      </c>
      <c r="B13" s="206">
        <v>0</v>
      </c>
      <c r="C13" s="207">
        <f t="shared" ref="C13:U13" si="2">C12*$E$97*(C11-B23)/365.25</f>
        <v>0</v>
      </c>
      <c r="D13" s="207">
        <f t="shared" si="2"/>
        <v>0</v>
      </c>
      <c r="E13" s="207">
        <f t="shared" si="2"/>
        <v>0</v>
      </c>
      <c r="F13" s="207">
        <f t="shared" si="2"/>
        <v>0</v>
      </c>
      <c r="G13" s="207">
        <f t="shared" si="2"/>
        <v>0</v>
      </c>
      <c r="H13" s="207">
        <f t="shared" si="2"/>
        <v>0</v>
      </c>
      <c r="I13" s="207">
        <f t="shared" si="2"/>
        <v>0</v>
      </c>
      <c r="J13" s="207">
        <f t="shared" si="2"/>
        <v>0</v>
      </c>
      <c r="K13" s="207">
        <f t="shared" si="2"/>
        <v>0</v>
      </c>
      <c r="L13" s="207">
        <f t="shared" si="2"/>
        <v>0</v>
      </c>
      <c r="M13" s="207">
        <f t="shared" si="2"/>
        <v>0</v>
      </c>
      <c r="N13" s="207">
        <f t="shared" si="2"/>
        <v>0</v>
      </c>
      <c r="O13" s="207">
        <f t="shared" si="2"/>
        <v>0</v>
      </c>
      <c r="P13" s="207">
        <f t="shared" si="2"/>
        <v>0</v>
      </c>
      <c r="Q13" s="207">
        <f t="shared" si="2"/>
        <v>0</v>
      </c>
      <c r="R13" s="207">
        <f t="shared" si="2"/>
        <v>0</v>
      </c>
      <c r="S13" s="207">
        <f t="shared" si="2"/>
        <v>0</v>
      </c>
      <c r="T13" s="207">
        <f t="shared" si="2"/>
        <v>0</v>
      </c>
      <c r="U13" s="207">
        <f t="shared" si="2"/>
        <v>0</v>
      </c>
      <c r="W13" s="205"/>
      <c r="X13" s="205"/>
    </row>
    <row r="14" spans="1:24">
      <c r="A14" s="203" t="s">
        <v>73</v>
      </c>
      <c r="B14" s="168">
        <f>'Summary Output'!B15</f>
        <v>0</v>
      </c>
      <c r="C14" s="208">
        <f>C12</f>
        <v>0</v>
      </c>
      <c r="D14" s="208">
        <f>D12</f>
        <v>0</v>
      </c>
      <c r="E14" s="208">
        <f>E12</f>
        <v>0</v>
      </c>
      <c r="F14" s="208">
        <f>F12</f>
        <v>0</v>
      </c>
      <c r="G14" s="208">
        <f>G12</f>
        <v>0</v>
      </c>
      <c r="H14" s="208">
        <f t="shared" ref="H14:U14" si="3">H12</f>
        <v>0</v>
      </c>
      <c r="I14" s="208">
        <f t="shared" si="3"/>
        <v>0</v>
      </c>
      <c r="J14" s="208">
        <f t="shared" si="3"/>
        <v>0</v>
      </c>
      <c r="K14" s="208">
        <f t="shared" si="3"/>
        <v>0</v>
      </c>
      <c r="L14" s="208">
        <f t="shared" si="3"/>
        <v>0</v>
      </c>
      <c r="M14" s="208">
        <f t="shared" si="3"/>
        <v>0</v>
      </c>
      <c r="N14" s="208">
        <f t="shared" si="3"/>
        <v>0</v>
      </c>
      <c r="O14" s="208">
        <f t="shared" si="3"/>
        <v>0</v>
      </c>
      <c r="P14" s="208">
        <f t="shared" si="3"/>
        <v>0</v>
      </c>
      <c r="Q14" s="208">
        <f t="shared" si="3"/>
        <v>0</v>
      </c>
      <c r="R14" s="208">
        <f t="shared" si="3"/>
        <v>0</v>
      </c>
      <c r="S14" s="208">
        <f t="shared" si="3"/>
        <v>0</v>
      </c>
      <c r="T14" s="208">
        <f t="shared" si="3"/>
        <v>0</v>
      </c>
      <c r="U14" s="208">
        <f t="shared" si="3"/>
        <v>0</v>
      </c>
      <c r="W14" s="209">
        <f>SUM(B19:U19,B26:U26)</f>
        <v>0</v>
      </c>
      <c r="X14" s="210">
        <f>B14-W14</f>
        <v>0</v>
      </c>
    </row>
    <row r="15" spans="1:24">
      <c r="B15" s="211"/>
      <c r="C15" s="199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W15" s="205"/>
      <c r="X15" s="205"/>
    </row>
    <row r="16" spans="1:24">
      <c r="A16" s="178"/>
      <c r="B16" s="201">
        <v>37072</v>
      </c>
      <c r="C16" s="201">
        <v>37437</v>
      </c>
      <c r="D16" s="201">
        <v>37802</v>
      </c>
      <c r="E16" s="201">
        <v>38168</v>
      </c>
      <c r="F16" s="201">
        <v>38533</v>
      </c>
      <c r="G16" s="201">
        <v>38898</v>
      </c>
      <c r="H16" s="201">
        <v>39263</v>
      </c>
      <c r="I16" s="201">
        <v>39629</v>
      </c>
      <c r="J16" s="201">
        <v>39994</v>
      </c>
      <c r="K16" s="201">
        <v>40359</v>
      </c>
      <c r="L16" s="201">
        <v>40724</v>
      </c>
      <c r="M16" s="201">
        <v>41090</v>
      </c>
      <c r="N16" s="201">
        <v>41455</v>
      </c>
      <c r="O16" s="201">
        <v>41820</v>
      </c>
      <c r="P16" s="201">
        <v>42185</v>
      </c>
      <c r="Q16" s="201">
        <v>42551</v>
      </c>
      <c r="R16" s="201">
        <v>42916</v>
      </c>
      <c r="S16" s="201">
        <v>43281</v>
      </c>
      <c r="T16" s="201">
        <v>43646</v>
      </c>
      <c r="U16" s="201">
        <v>44012</v>
      </c>
      <c r="W16" s="205"/>
      <c r="X16" s="205"/>
    </row>
    <row r="17" spans="1:24">
      <c r="A17" s="203" t="s">
        <v>70</v>
      </c>
      <c r="B17" s="204">
        <f t="shared" ref="B17:G17" si="4">B14</f>
        <v>0</v>
      </c>
      <c r="C17" s="204">
        <f t="shared" si="4"/>
        <v>0</v>
      </c>
      <c r="D17" s="204">
        <f t="shared" si="4"/>
        <v>0</v>
      </c>
      <c r="E17" s="204">
        <f t="shared" si="4"/>
        <v>0</v>
      </c>
      <c r="F17" s="204">
        <f t="shared" si="4"/>
        <v>0</v>
      </c>
      <c r="G17" s="204">
        <f t="shared" si="4"/>
        <v>0</v>
      </c>
      <c r="H17" s="204">
        <f t="shared" ref="H17:U17" si="5">H14</f>
        <v>0</v>
      </c>
      <c r="I17" s="204">
        <f t="shared" si="5"/>
        <v>0</v>
      </c>
      <c r="J17" s="204">
        <f t="shared" si="5"/>
        <v>0</v>
      </c>
      <c r="K17" s="204">
        <f t="shared" si="5"/>
        <v>0</v>
      </c>
      <c r="L17" s="204">
        <f t="shared" si="5"/>
        <v>0</v>
      </c>
      <c r="M17" s="204">
        <f t="shared" si="5"/>
        <v>0</v>
      </c>
      <c r="N17" s="204">
        <f t="shared" si="5"/>
        <v>0</v>
      </c>
      <c r="O17" s="204">
        <f t="shared" si="5"/>
        <v>0</v>
      </c>
      <c r="P17" s="204">
        <f t="shared" si="5"/>
        <v>0</v>
      </c>
      <c r="Q17" s="204">
        <f t="shared" si="5"/>
        <v>0</v>
      </c>
      <c r="R17" s="204">
        <f t="shared" si="5"/>
        <v>0</v>
      </c>
      <c r="S17" s="204">
        <f t="shared" si="5"/>
        <v>0</v>
      </c>
      <c r="T17" s="204">
        <f t="shared" si="5"/>
        <v>0</v>
      </c>
      <c r="U17" s="204">
        <f t="shared" si="5"/>
        <v>0</v>
      </c>
      <c r="W17" s="205"/>
      <c r="X17" s="205"/>
    </row>
    <row r="18" spans="1:24">
      <c r="A18" s="203" t="s">
        <v>201</v>
      </c>
      <c r="B18" s="212">
        <v>0.155</v>
      </c>
      <c r="C18" s="212">
        <v>0.16500000000000001</v>
      </c>
      <c r="D18" s="212">
        <v>0.25</v>
      </c>
      <c r="E18" s="204"/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204"/>
      <c r="Q18" s="204"/>
      <c r="R18" s="204"/>
      <c r="S18" s="204"/>
      <c r="T18" s="204"/>
      <c r="U18" s="204"/>
      <c r="W18" s="205"/>
      <c r="X18" s="205"/>
    </row>
    <row r="19" spans="1:24">
      <c r="A19" s="203" t="s">
        <v>71</v>
      </c>
      <c r="B19" s="204">
        <f>$B$14*B18</f>
        <v>0</v>
      </c>
      <c r="C19" s="204">
        <f>$B$14*C18</f>
        <v>0</v>
      </c>
      <c r="D19" s="204">
        <f>$B$14*D18</f>
        <v>0</v>
      </c>
      <c r="E19" s="204">
        <f t="shared" ref="E19:U19" si="6">$B$14*E18</f>
        <v>0</v>
      </c>
      <c r="F19" s="204">
        <f t="shared" si="6"/>
        <v>0</v>
      </c>
      <c r="G19" s="204">
        <f t="shared" si="6"/>
        <v>0</v>
      </c>
      <c r="H19" s="204">
        <f t="shared" si="6"/>
        <v>0</v>
      </c>
      <c r="I19" s="204">
        <f t="shared" si="6"/>
        <v>0</v>
      </c>
      <c r="J19" s="204">
        <f t="shared" si="6"/>
        <v>0</v>
      </c>
      <c r="K19" s="204">
        <f t="shared" si="6"/>
        <v>0</v>
      </c>
      <c r="L19" s="204">
        <f t="shared" si="6"/>
        <v>0</v>
      </c>
      <c r="M19" s="204">
        <f t="shared" si="6"/>
        <v>0</v>
      </c>
      <c r="N19" s="204">
        <f t="shared" si="6"/>
        <v>0</v>
      </c>
      <c r="O19" s="204">
        <f t="shared" si="6"/>
        <v>0</v>
      </c>
      <c r="P19" s="204">
        <f t="shared" si="6"/>
        <v>0</v>
      </c>
      <c r="Q19" s="204">
        <f t="shared" si="6"/>
        <v>0</v>
      </c>
      <c r="R19" s="204">
        <f t="shared" si="6"/>
        <v>0</v>
      </c>
      <c r="S19" s="204">
        <f t="shared" si="6"/>
        <v>0</v>
      </c>
      <c r="T19" s="204">
        <f t="shared" si="6"/>
        <v>0</v>
      </c>
      <c r="U19" s="204">
        <f t="shared" si="6"/>
        <v>0</v>
      </c>
      <c r="V19" s="6"/>
      <c r="W19" s="213"/>
      <c r="X19" s="213"/>
    </row>
    <row r="20" spans="1:24">
      <c r="A20" s="203" t="s">
        <v>72</v>
      </c>
      <c r="B20" s="207">
        <f t="shared" ref="B20:G20" si="7">B17*$E$97*(B16-B11)/365.25</f>
        <v>0</v>
      </c>
      <c r="C20" s="207">
        <f t="shared" si="7"/>
        <v>0</v>
      </c>
      <c r="D20" s="207">
        <f t="shared" si="7"/>
        <v>0</v>
      </c>
      <c r="E20" s="207">
        <f t="shared" si="7"/>
        <v>0</v>
      </c>
      <c r="F20" s="207">
        <f t="shared" si="7"/>
        <v>0</v>
      </c>
      <c r="G20" s="207">
        <f t="shared" si="7"/>
        <v>0</v>
      </c>
      <c r="H20" s="207">
        <f t="shared" ref="H20:U20" si="8">H17*$E$97*(H16-H11)/365.25</f>
        <v>0</v>
      </c>
      <c r="I20" s="207">
        <f t="shared" si="8"/>
        <v>0</v>
      </c>
      <c r="J20" s="207">
        <f t="shared" si="8"/>
        <v>0</v>
      </c>
      <c r="K20" s="207">
        <f t="shared" si="8"/>
        <v>0</v>
      </c>
      <c r="L20" s="207">
        <f t="shared" si="8"/>
        <v>0</v>
      </c>
      <c r="M20" s="207">
        <f t="shared" si="8"/>
        <v>0</v>
      </c>
      <c r="N20" s="207">
        <f t="shared" si="8"/>
        <v>0</v>
      </c>
      <c r="O20" s="207">
        <f t="shared" si="8"/>
        <v>0</v>
      </c>
      <c r="P20" s="207">
        <f t="shared" si="8"/>
        <v>0</v>
      </c>
      <c r="Q20" s="207">
        <f t="shared" si="8"/>
        <v>0</v>
      </c>
      <c r="R20" s="207">
        <f t="shared" si="8"/>
        <v>0</v>
      </c>
      <c r="S20" s="207">
        <f t="shared" si="8"/>
        <v>0</v>
      </c>
      <c r="T20" s="207">
        <f t="shared" si="8"/>
        <v>0</v>
      </c>
      <c r="U20" s="207">
        <f t="shared" si="8"/>
        <v>0</v>
      </c>
      <c r="V20" s="6"/>
      <c r="W20" s="213"/>
      <c r="X20" s="213"/>
    </row>
    <row r="21" spans="1:24">
      <c r="A21" s="203" t="s">
        <v>73</v>
      </c>
      <c r="B21" s="208">
        <f>B17-B19</f>
        <v>0</v>
      </c>
      <c r="C21" s="208">
        <f t="shared" ref="C21:U21" si="9">C17-C19</f>
        <v>0</v>
      </c>
      <c r="D21" s="208">
        <f t="shared" si="9"/>
        <v>0</v>
      </c>
      <c r="E21" s="208">
        <f t="shared" si="9"/>
        <v>0</v>
      </c>
      <c r="F21" s="208">
        <f t="shared" si="9"/>
        <v>0</v>
      </c>
      <c r="G21" s="208">
        <f t="shared" si="9"/>
        <v>0</v>
      </c>
      <c r="H21" s="208">
        <f t="shared" si="9"/>
        <v>0</v>
      </c>
      <c r="I21" s="208">
        <f t="shared" si="9"/>
        <v>0</v>
      </c>
      <c r="J21" s="208">
        <f t="shared" si="9"/>
        <v>0</v>
      </c>
      <c r="K21" s="208">
        <f t="shared" si="9"/>
        <v>0</v>
      </c>
      <c r="L21" s="208">
        <f t="shared" si="9"/>
        <v>0</v>
      </c>
      <c r="M21" s="208">
        <f t="shared" si="9"/>
        <v>0</v>
      </c>
      <c r="N21" s="208">
        <f t="shared" si="9"/>
        <v>0</v>
      </c>
      <c r="O21" s="208">
        <f t="shared" si="9"/>
        <v>0</v>
      </c>
      <c r="P21" s="208">
        <f t="shared" si="9"/>
        <v>0</v>
      </c>
      <c r="Q21" s="208">
        <f t="shared" si="9"/>
        <v>0</v>
      </c>
      <c r="R21" s="208">
        <f t="shared" si="9"/>
        <v>0</v>
      </c>
      <c r="S21" s="208">
        <f t="shared" si="9"/>
        <v>0</v>
      </c>
      <c r="T21" s="208">
        <f t="shared" si="9"/>
        <v>0</v>
      </c>
      <c r="U21" s="208">
        <f t="shared" si="9"/>
        <v>0</v>
      </c>
      <c r="V21" s="6"/>
      <c r="W21" s="213"/>
      <c r="X21" s="213"/>
    </row>
    <row r="22" spans="1:24">
      <c r="A22" s="203"/>
      <c r="B22" s="214"/>
      <c r="C22" s="214"/>
      <c r="D22" s="214"/>
      <c r="E22" s="214"/>
      <c r="F22" s="214"/>
      <c r="G22" s="214"/>
      <c r="H22" s="214"/>
      <c r="I22" s="214"/>
      <c r="J22" s="214"/>
      <c r="K22" s="214"/>
      <c r="L22" s="214"/>
      <c r="M22" s="214"/>
      <c r="N22" s="214"/>
      <c r="O22" s="214"/>
      <c r="P22" s="214"/>
      <c r="Q22" s="214"/>
      <c r="R22" s="214"/>
      <c r="S22" s="214"/>
      <c r="T22" s="214"/>
      <c r="U22" s="214"/>
      <c r="V22" s="6"/>
      <c r="W22" s="213"/>
      <c r="X22" s="213"/>
    </row>
    <row r="23" spans="1:24">
      <c r="A23" s="178"/>
      <c r="B23" s="201">
        <v>37256</v>
      </c>
      <c r="C23" s="201">
        <v>37621</v>
      </c>
      <c r="D23" s="201">
        <v>37986</v>
      </c>
      <c r="E23" s="201">
        <v>38352</v>
      </c>
      <c r="F23" s="201">
        <v>38717</v>
      </c>
      <c r="G23" s="201">
        <v>39082</v>
      </c>
      <c r="H23" s="201">
        <v>39447</v>
      </c>
      <c r="I23" s="201">
        <v>39813</v>
      </c>
      <c r="J23" s="201">
        <v>40178</v>
      </c>
      <c r="K23" s="201">
        <v>40543</v>
      </c>
      <c r="L23" s="201">
        <v>40908</v>
      </c>
      <c r="M23" s="201">
        <v>41274</v>
      </c>
      <c r="N23" s="201">
        <v>41639</v>
      </c>
      <c r="O23" s="201">
        <v>42004</v>
      </c>
      <c r="P23" s="201">
        <v>42369</v>
      </c>
      <c r="Q23" s="201">
        <v>42735</v>
      </c>
      <c r="R23" s="201">
        <v>43100</v>
      </c>
      <c r="S23" s="201">
        <v>43465</v>
      </c>
      <c r="T23" s="201">
        <v>43830</v>
      </c>
      <c r="U23" s="201">
        <v>44196</v>
      </c>
      <c r="V23" s="6"/>
      <c r="W23" s="213"/>
      <c r="X23" s="213"/>
    </row>
    <row r="24" spans="1:24">
      <c r="A24" s="203" t="s">
        <v>70</v>
      </c>
      <c r="B24" s="204">
        <f t="shared" ref="B24:G24" si="10">B21</f>
        <v>0</v>
      </c>
      <c r="C24" s="204">
        <f t="shared" si="10"/>
        <v>0</v>
      </c>
      <c r="D24" s="204">
        <f t="shared" si="10"/>
        <v>0</v>
      </c>
      <c r="E24" s="204">
        <f t="shared" si="10"/>
        <v>0</v>
      </c>
      <c r="F24" s="204">
        <f t="shared" si="10"/>
        <v>0</v>
      </c>
      <c r="G24" s="204">
        <f t="shared" si="10"/>
        <v>0</v>
      </c>
      <c r="H24" s="204">
        <f t="shared" ref="H24:U24" si="11">H21</f>
        <v>0</v>
      </c>
      <c r="I24" s="204">
        <f t="shared" si="11"/>
        <v>0</v>
      </c>
      <c r="J24" s="204">
        <f t="shared" si="11"/>
        <v>0</v>
      </c>
      <c r="K24" s="204">
        <f t="shared" si="11"/>
        <v>0</v>
      </c>
      <c r="L24" s="204">
        <f t="shared" si="11"/>
        <v>0</v>
      </c>
      <c r="M24" s="204">
        <f t="shared" si="11"/>
        <v>0</v>
      </c>
      <c r="N24" s="204">
        <f t="shared" si="11"/>
        <v>0</v>
      </c>
      <c r="O24" s="204">
        <f t="shared" si="11"/>
        <v>0</v>
      </c>
      <c r="P24" s="204">
        <f t="shared" si="11"/>
        <v>0</v>
      </c>
      <c r="Q24" s="204">
        <f t="shared" si="11"/>
        <v>0</v>
      </c>
      <c r="R24" s="204">
        <f t="shared" si="11"/>
        <v>0</v>
      </c>
      <c r="S24" s="204">
        <f t="shared" si="11"/>
        <v>0</v>
      </c>
      <c r="T24" s="204">
        <f t="shared" si="11"/>
        <v>0</v>
      </c>
      <c r="U24" s="204">
        <f t="shared" si="11"/>
        <v>0</v>
      </c>
      <c r="V24" s="6"/>
      <c r="W24" s="213"/>
      <c r="X24" s="213"/>
    </row>
    <row r="25" spans="1:24">
      <c r="A25" s="203" t="s">
        <v>201</v>
      </c>
      <c r="B25" s="212">
        <v>0.155</v>
      </c>
      <c r="C25" s="212">
        <v>0.16750000000000001</v>
      </c>
      <c r="D25" s="212">
        <v>0.1075</v>
      </c>
      <c r="E25" s="204"/>
      <c r="F25" s="204"/>
      <c r="G25" s="204"/>
      <c r="H25" s="204"/>
      <c r="I25" s="204"/>
      <c r="J25" s="204"/>
      <c r="K25" s="204"/>
      <c r="L25" s="204"/>
      <c r="M25" s="204"/>
      <c r="N25" s="204"/>
      <c r="O25" s="204"/>
      <c r="P25" s="204"/>
      <c r="Q25" s="204"/>
      <c r="R25" s="204"/>
      <c r="S25" s="204"/>
      <c r="T25" s="204"/>
      <c r="U25" s="204"/>
      <c r="V25" s="6"/>
      <c r="W25" s="213"/>
      <c r="X25" s="213"/>
    </row>
    <row r="26" spans="1:24">
      <c r="A26" s="203" t="s">
        <v>71</v>
      </c>
      <c r="B26" s="204">
        <f>B25*$B$14</f>
        <v>0</v>
      </c>
      <c r="C26" s="204">
        <f t="shared" ref="C26:U26" si="12">C25*$B$14</f>
        <v>0</v>
      </c>
      <c r="D26" s="204">
        <f t="shared" si="12"/>
        <v>0</v>
      </c>
      <c r="E26" s="204">
        <f t="shared" si="12"/>
        <v>0</v>
      </c>
      <c r="F26" s="204">
        <f t="shared" si="12"/>
        <v>0</v>
      </c>
      <c r="G26" s="204">
        <f t="shared" si="12"/>
        <v>0</v>
      </c>
      <c r="H26" s="204">
        <f t="shared" si="12"/>
        <v>0</v>
      </c>
      <c r="I26" s="204">
        <f t="shared" si="12"/>
        <v>0</v>
      </c>
      <c r="J26" s="204">
        <f t="shared" si="12"/>
        <v>0</v>
      </c>
      <c r="K26" s="204">
        <f t="shared" si="12"/>
        <v>0</v>
      </c>
      <c r="L26" s="204">
        <f t="shared" si="12"/>
        <v>0</v>
      </c>
      <c r="M26" s="204">
        <f t="shared" si="12"/>
        <v>0</v>
      </c>
      <c r="N26" s="204">
        <f t="shared" si="12"/>
        <v>0</v>
      </c>
      <c r="O26" s="204">
        <f t="shared" si="12"/>
        <v>0</v>
      </c>
      <c r="P26" s="204">
        <f t="shared" si="12"/>
        <v>0</v>
      </c>
      <c r="Q26" s="204">
        <f t="shared" si="12"/>
        <v>0</v>
      </c>
      <c r="R26" s="204">
        <f t="shared" si="12"/>
        <v>0</v>
      </c>
      <c r="S26" s="204">
        <f t="shared" si="12"/>
        <v>0</v>
      </c>
      <c r="T26" s="204">
        <f t="shared" si="12"/>
        <v>0</v>
      </c>
      <c r="U26" s="204">
        <f t="shared" si="12"/>
        <v>0</v>
      </c>
      <c r="V26" s="6"/>
      <c r="W26" s="213"/>
      <c r="X26" s="213"/>
    </row>
    <row r="27" spans="1:24">
      <c r="A27" s="203" t="s">
        <v>72</v>
      </c>
      <c r="B27" s="207">
        <f t="shared" ref="B27:G27" si="13">B24*$E$97*(B23-B16)/365.25</f>
        <v>0</v>
      </c>
      <c r="C27" s="207">
        <f t="shared" si="13"/>
        <v>0</v>
      </c>
      <c r="D27" s="207">
        <f t="shared" si="13"/>
        <v>0</v>
      </c>
      <c r="E27" s="207">
        <f t="shared" si="13"/>
        <v>0</v>
      </c>
      <c r="F27" s="207">
        <f t="shared" si="13"/>
        <v>0</v>
      </c>
      <c r="G27" s="207">
        <f t="shared" si="13"/>
        <v>0</v>
      </c>
      <c r="H27" s="207">
        <f t="shared" ref="H27:U27" si="14">H24*$E$97*(H23-H16)/365.25</f>
        <v>0</v>
      </c>
      <c r="I27" s="207">
        <f t="shared" si="14"/>
        <v>0</v>
      </c>
      <c r="J27" s="207">
        <f t="shared" si="14"/>
        <v>0</v>
      </c>
      <c r="K27" s="207">
        <f t="shared" si="14"/>
        <v>0</v>
      </c>
      <c r="L27" s="207">
        <f t="shared" si="14"/>
        <v>0</v>
      </c>
      <c r="M27" s="207">
        <f t="shared" si="14"/>
        <v>0</v>
      </c>
      <c r="N27" s="207">
        <f t="shared" si="14"/>
        <v>0</v>
      </c>
      <c r="O27" s="207">
        <f t="shared" si="14"/>
        <v>0</v>
      </c>
      <c r="P27" s="207">
        <f t="shared" si="14"/>
        <v>0</v>
      </c>
      <c r="Q27" s="207">
        <f t="shared" si="14"/>
        <v>0</v>
      </c>
      <c r="R27" s="207">
        <f t="shared" si="14"/>
        <v>0</v>
      </c>
      <c r="S27" s="207">
        <f t="shared" si="14"/>
        <v>0</v>
      </c>
      <c r="T27" s="207">
        <f t="shared" si="14"/>
        <v>0</v>
      </c>
      <c r="U27" s="207">
        <f t="shared" si="14"/>
        <v>0</v>
      </c>
      <c r="V27" s="6"/>
      <c r="W27" s="213"/>
      <c r="X27" s="213"/>
    </row>
    <row r="28" spans="1:24">
      <c r="A28" s="203" t="s">
        <v>73</v>
      </c>
      <c r="B28" s="208">
        <f>B24-B26</f>
        <v>0</v>
      </c>
      <c r="C28" s="208">
        <f t="shared" ref="C28:U28" si="15">C24-C26</f>
        <v>0</v>
      </c>
      <c r="D28" s="208">
        <f t="shared" si="15"/>
        <v>0</v>
      </c>
      <c r="E28" s="208">
        <f t="shared" si="15"/>
        <v>0</v>
      </c>
      <c r="F28" s="208">
        <f t="shared" si="15"/>
        <v>0</v>
      </c>
      <c r="G28" s="208">
        <f t="shared" si="15"/>
        <v>0</v>
      </c>
      <c r="H28" s="208">
        <f t="shared" si="15"/>
        <v>0</v>
      </c>
      <c r="I28" s="208">
        <f t="shared" si="15"/>
        <v>0</v>
      </c>
      <c r="J28" s="208">
        <f t="shared" si="15"/>
        <v>0</v>
      </c>
      <c r="K28" s="208">
        <f t="shared" si="15"/>
        <v>0</v>
      </c>
      <c r="L28" s="208">
        <f t="shared" si="15"/>
        <v>0</v>
      </c>
      <c r="M28" s="208">
        <f t="shared" si="15"/>
        <v>0</v>
      </c>
      <c r="N28" s="208">
        <f t="shared" si="15"/>
        <v>0</v>
      </c>
      <c r="O28" s="208">
        <f t="shared" si="15"/>
        <v>0</v>
      </c>
      <c r="P28" s="208">
        <f t="shared" si="15"/>
        <v>0</v>
      </c>
      <c r="Q28" s="208">
        <f t="shared" si="15"/>
        <v>0</v>
      </c>
      <c r="R28" s="208">
        <f t="shared" si="15"/>
        <v>0</v>
      </c>
      <c r="S28" s="208">
        <f t="shared" si="15"/>
        <v>0</v>
      </c>
      <c r="T28" s="208">
        <f t="shared" si="15"/>
        <v>0</v>
      </c>
      <c r="U28" s="208">
        <f t="shared" si="15"/>
        <v>0</v>
      </c>
      <c r="W28" s="205"/>
      <c r="X28" s="205"/>
    </row>
    <row r="29" spans="1:24">
      <c r="A29" s="203"/>
      <c r="B29" s="214"/>
      <c r="C29" s="214"/>
      <c r="D29" s="214"/>
      <c r="E29" s="214"/>
      <c r="F29" s="214"/>
      <c r="G29" s="214"/>
      <c r="H29" s="214"/>
      <c r="I29" s="214"/>
      <c r="J29" s="214"/>
      <c r="K29" s="214"/>
      <c r="L29" s="214"/>
      <c r="M29" s="214"/>
      <c r="N29" s="214"/>
      <c r="O29" s="214"/>
      <c r="P29" s="214"/>
      <c r="Q29" s="214"/>
      <c r="R29" s="214"/>
      <c r="S29" s="214"/>
      <c r="T29" s="214"/>
      <c r="U29" s="214"/>
      <c r="W29" s="205"/>
      <c r="X29" s="205"/>
    </row>
    <row r="30" spans="1:24">
      <c r="A30" s="200" t="s">
        <v>14</v>
      </c>
      <c r="B30" s="6"/>
      <c r="C30" s="199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W30" s="205"/>
      <c r="X30" s="205"/>
    </row>
    <row r="31" spans="1:24">
      <c r="B31" s="201">
        <f>'Summary Output'!$B$14</f>
        <v>36892</v>
      </c>
      <c r="C31" s="201">
        <v>37257</v>
      </c>
      <c r="D31" s="201">
        <v>37622</v>
      </c>
      <c r="E31" s="201">
        <v>37987</v>
      </c>
      <c r="F31" s="201">
        <v>38353</v>
      </c>
      <c r="G31" s="201">
        <v>38718</v>
      </c>
      <c r="H31" s="201">
        <v>39083</v>
      </c>
      <c r="I31" s="201">
        <v>39448</v>
      </c>
      <c r="J31" s="201">
        <v>39814</v>
      </c>
      <c r="K31" s="201">
        <v>40179</v>
      </c>
      <c r="L31" s="201">
        <v>40544</v>
      </c>
      <c r="M31" s="201">
        <v>40909</v>
      </c>
      <c r="N31" s="201">
        <v>41275</v>
      </c>
      <c r="O31" s="201">
        <v>41640</v>
      </c>
      <c r="P31" s="201">
        <v>42005</v>
      </c>
      <c r="Q31" s="201">
        <v>42370</v>
      </c>
      <c r="R31" s="201">
        <v>42736</v>
      </c>
      <c r="S31" s="201">
        <v>43101</v>
      </c>
      <c r="T31" s="201">
        <v>43466</v>
      </c>
      <c r="U31" s="201">
        <v>43831</v>
      </c>
      <c r="W31" s="205"/>
      <c r="X31" s="205"/>
    </row>
    <row r="32" spans="1:24">
      <c r="A32" s="203" t="s">
        <v>70</v>
      </c>
      <c r="B32" s="204">
        <v>0</v>
      </c>
      <c r="C32" s="204">
        <f t="shared" ref="C32:U32" si="16">B48</f>
        <v>55000</v>
      </c>
      <c r="D32" s="204">
        <f t="shared" si="16"/>
        <v>55000</v>
      </c>
      <c r="E32" s="204">
        <f t="shared" si="16"/>
        <v>55000</v>
      </c>
      <c r="F32" s="204">
        <f t="shared" si="16"/>
        <v>50325</v>
      </c>
      <c r="G32" s="204">
        <f t="shared" si="16"/>
        <v>43890</v>
      </c>
      <c r="H32" s="204">
        <f t="shared" si="16"/>
        <v>36575</v>
      </c>
      <c r="I32" s="204">
        <f t="shared" si="16"/>
        <v>28600</v>
      </c>
      <c r="J32" s="204">
        <f t="shared" si="16"/>
        <v>19525</v>
      </c>
      <c r="K32" s="204">
        <f t="shared" si="16"/>
        <v>9570</v>
      </c>
      <c r="L32" s="204">
        <f t="shared" si="16"/>
        <v>3.637978807091713E-12</v>
      </c>
      <c r="M32" s="204">
        <f t="shared" si="16"/>
        <v>3.637978807091713E-12</v>
      </c>
      <c r="N32" s="204">
        <f t="shared" si="16"/>
        <v>3.637978807091713E-12</v>
      </c>
      <c r="O32" s="204">
        <f t="shared" si="16"/>
        <v>3.637978807091713E-12</v>
      </c>
      <c r="P32" s="204">
        <f t="shared" si="16"/>
        <v>3.637978807091713E-12</v>
      </c>
      <c r="Q32" s="204">
        <f t="shared" si="16"/>
        <v>3.637978807091713E-12</v>
      </c>
      <c r="R32" s="204">
        <f t="shared" si="16"/>
        <v>3.637978807091713E-12</v>
      </c>
      <c r="S32" s="204">
        <f t="shared" si="16"/>
        <v>3.637978807091713E-12</v>
      </c>
      <c r="T32" s="204">
        <f t="shared" si="16"/>
        <v>3.637978807091713E-12</v>
      </c>
      <c r="U32" s="204">
        <f t="shared" si="16"/>
        <v>3.637978807091713E-12</v>
      </c>
      <c r="W32" s="205"/>
      <c r="X32" s="205"/>
    </row>
    <row r="33" spans="1:24">
      <c r="A33" s="203" t="s">
        <v>72</v>
      </c>
      <c r="B33" s="206">
        <v>0</v>
      </c>
      <c r="C33" s="207">
        <f t="shared" ref="C33:K33" si="17">C32*$J$97*(C31-B43)/365.25</f>
        <v>16.563997262149211</v>
      </c>
      <c r="D33" s="207">
        <f t="shared" si="17"/>
        <v>16.563997262149211</v>
      </c>
      <c r="E33" s="207">
        <f t="shared" si="17"/>
        <v>16.563997262149211</v>
      </c>
      <c r="F33" s="207">
        <f t="shared" si="17"/>
        <v>15.156057494866531</v>
      </c>
      <c r="G33" s="207">
        <f t="shared" si="17"/>
        <v>13.21806981519507</v>
      </c>
      <c r="H33" s="207">
        <f t="shared" si="17"/>
        <v>11.015058179329227</v>
      </c>
      <c r="I33" s="207">
        <f t="shared" si="17"/>
        <v>8.6132785763175903</v>
      </c>
      <c r="J33" s="207">
        <f t="shared" si="17"/>
        <v>5.8802190280629709</v>
      </c>
      <c r="K33" s="207">
        <f t="shared" si="17"/>
        <v>2.8821355236139632</v>
      </c>
      <c r="L33" s="207">
        <f t="shared" ref="L33:U33" si="18">L32*$J$97*(L31-K43)/365.25</f>
        <v>1.0956267454622544E-15</v>
      </c>
      <c r="M33" s="207">
        <f t="shared" si="18"/>
        <v>1.0956267454622544E-15</v>
      </c>
      <c r="N33" s="207">
        <f t="shared" si="18"/>
        <v>1.0956267454622544E-15</v>
      </c>
      <c r="O33" s="207">
        <f t="shared" si="18"/>
        <v>1.0956267454622544E-15</v>
      </c>
      <c r="P33" s="207">
        <f t="shared" si="18"/>
        <v>1.0956267454622544E-15</v>
      </c>
      <c r="Q33" s="207">
        <f t="shared" si="18"/>
        <v>1.0956267454622544E-15</v>
      </c>
      <c r="R33" s="207">
        <f t="shared" si="18"/>
        <v>1.0956267454622544E-15</v>
      </c>
      <c r="S33" s="207">
        <f t="shared" si="18"/>
        <v>1.0956267454622544E-15</v>
      </c>
      <c r="T33" s="207">
        <f t="shared" si="18"/>
        <v>1.0956267454622544E-15</v>
      </c>
      <c r="U33" s="207">
        <f t="shared" si="18"/>
        <v>1.0956267454622544E-15</v>
      </c>
      <c r="V33" s="6"/>
      <c r="W33" s="213"/>
      <c r="X33" s="213"/>
    </row>
    <row r="34" spans="1:24">
      <c r="A34" s="203" t="s">
        <v>73</v>
      </c>
      <c r="B34" s="168">
        <f>'Summary Output'!C15</f>
        <v>55000</v>
      </c>
      <c r="C34" s="208">
        <f t="shared" ref="C34:K34" si="19">C32</f>
        <v>55000</v>
      </c>
      <c r="D34" s="208">
        <f t="shared" si="19"/>
        <v>55000</v>
      </c>
      <c r="E34" s="208">
        <f t="shared" si="19"/>
        <v>55000</v>
      </c>
      <c r="F34" s="208">
        <f t="shared" si="19"/>
        <v>50325</v>
      </c>
      <c r="G34" s="208">
        <f t="shared" si="19"/>
        <v>43890</v>
      </c>
      <c r="H34" s="208">
        <f t="shared" si="19"/>
        <v>36575</v>
      </c>
      <c r="I34" s="208">
        <f t="shared" si="19"/>
        <v>28600</v>
      </c>
      <c r="J34" s="208">
        <f t="shared" si="19"/>
        <v>19525</v>
      </c>
      <c r="K34" s="208">
        <f t="shared" si="19"/>
        <v>9570</v>
      </c>
      <c r="L34" s="208">
        <f t="shared" ref="L34:U34" si="20">L32</f>
        <v>3.637978807091713E-12</v>
      </c>
      <c r="M34" s="208">
        <f t="shared" si="20"/>
        <v>3.637978807091713E-12</v>
      </c>
      <c r="N34" s="208">
        <f t="shared" si="20"/>
        <v>3.637978807091713E-12</v>
      </c>
      <c r="O34" s="208">
        <f t="shared" si="20"/>
        <v>3.637978807091713E-12</v>
      </c>
      <c r="P34" s="208">
        <f t="shared" si="20"/>
        <v>3.637978807091713E-12</v>
      </c>
      <c r="Q34" s="208">
        <f t="shared" si="20"/>
        <v>3.637978807091713E-12</v>
      </c>
      <c r="R34" s="208">
        <f t="shared" si="20"/>
        <v>3.637978807091713E-12</v>
      </c>
      <c r="S34" s="208">
        <f t="shared" si="20"/>
        <v>3.637978807091713E-12</v>
      </c>
      <c r="T34" s="208">
        <f t="shared" si="20"/>
        <v>3.637978807091713E-12</v>
      </c>
      <c r="U34" s="208">
        <f t="shared" si="20"/>
        <v>3.637978807091713E-12</v>
      </c>
      <c r="V34" s="6"/>
      <c r="W34" s="209">
        <f>SUM(B39:U39,B46:U46)</f>
        <v>55000</v>
      </c>
      <c r="X34" s="210">
        <f>B34-W34</f>
        <v>0</v>
      </c>
    </row>
    <row r="35" spans="1:24">
      <c r="B35" s="211"/>
      <c r="C35" s="199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213"/>
      <c r="X35" s="213"/>
    </row>
    <row r="36" spans="1:24">
      <c r="A36" s="178"/>
      <c r="B36" s="201">
        <v>37072</v>
      </c>
      <c r="C36" s="201">
        <v>37437</v>
      </c>
      <c r="D36" s="201">
        <v>37802</v>
      </c>
      <c r="E36" s="201">
        <v>38168</v>
      </c>
      <c r="F36" s="201">
        <v>38533</v>
      </c>
      <c r="G36" s="201">
        <v>38898</v>
      </c>
      <c r="H36" s="201">
        <v>39263</v>
      </c>
      <c r="I36" s="201">
        <v>39629</v>
      </c>
      <c r="J36" s="201">
        <v>39994</v>
      </c>
      <c r="K36" s="201">
        <v>40359</v>
      </c>
      <c r="L36" s="201">
        <v>40724</v>
      </c>
      <c r="M36" s="201">
        <v>41090</v>
      </c>
      <c r="N36" s="201">
        <v>41455</v>
      </c>
      <c r="O36" s="201">
        <v>41820</v>
      </c>
      <c r="P36" s="201">
        <v>42185</v>
      </c>
      <c r="Q36" s="201">
        <v>42551</v>
      </c>
      <c r="R36" s="201">
        <v>42916</v>
      </c>
      <c r="S36" s="201">
        <v>43281</v>
      </c>
      <c r="T36" s="201">
        <v>43646</v>
      </c>
      <c r="U36" s="201">
        <v>44012</v>
      </c>
      <c r="V36" s="6"/>
      <c r="W36" s="213"/>
      <c r="X36" s="213"/>
    </row>
    <row r="37" spans="1:24">
      <c r="A37" s="203" t="s">
        <v>70</v>
      </c>
      <c r="B37" s="204">
        <f t="shared" ref="B37:K37" si="21">B34</f>
        <v>55000</v>
      </c>
      <c r="C37" s="204">
        <f t="shared" si="21"/>
        <v>55000</v>
      </c>
      <c r="D37" s="204">
        <f t="shared" si="21"/>
        <v>55000</v>
      </c>
      <c r="E37" s="204">
        <f t="shared" si="21"/>
        <v>55000</v>
      </c>
      <c r="F37" s="204">
        <f t="shared" si="21"/>
        <v>50325</v>
      </c>
      <c r="G37" s="204">
        <f t="shared" si="21"/>
        <v>43890</v>
      </c>
      <c r="H37" s="204">
        <f t="shared" si="21"/>
        <v>36575</v>
      </c>
      <c r="I37" s="204">
        <f t="shared" si="21"/>
        <v>28600</v>
      </c>
      <c r="J37" s="204">
        <f t="shared" si="21"/>
        <v>19525</v>
      </c>
      <c r="K37" s="204">
        <f t="shared" si="21"/>
        <v>9570</v>
      </c>
      <c r="L37" s="204">
        <f t="shared" ref="L37:U37" si="22">L34</f>
        <v>3.637978807091713E-12</v>
      </c>
      <c r="M37" s="204">
        <f t="shared" si="22"/>
        <v>3.637978807091713E-12</v>
      </c>
      <c r="N37" s="204">
        <f t="shared" si="22"/>
        <v>3.637978807091713E-12</v>
      </c>
      <c r="O37" s="204">
        <f t="shared" si="22"/>
        <v>3.637978807091713E-12</v>
      </c>
      <c r="P37" s="204">
        <f t="shared" si="22"/>
        <v>3.637978807091713E-12</v>
      </c>
      <c r="Q37" s="204">
        <f t="shared" si="22"/>
        <v>3.637978807091713E-12</v>
      </c>
      <c r="R37" s="204">
        <f t="shared" si="22"/>
        <v>3.637978807091713E-12</v>
      </c>
      <c r="S37" s="204">
        <f t="shared" si="22"/>
        <v>3.637978807091713E-12</v>
      </c>
      <c r="T37" s="204">
        <f t="shared" si="22"/>
        <v>3.637978807091713E-12</v>
      </c>
      <c r="U37" s="204">
        <f t="shared" si="22"/>
        <v>3.637978807091713E-12</v>
      </c>
      <c r="V37" s="6"/>
      <c r="W37" s="213"/>
      <c r="X37" s="213"/>
    </row>
    <row r="38" spans="1:24">
      <c r="A38" s="203" t="s">
        <v>201</v>
      </c>
      <c r="B38" s="212">
        <v>0</v>
      </c>
      <c r="C38" s="212">
        <v>0</v>
      </c>
      <c r="D38" s="212">
        <v>0</v>
      </c>
      <c r="E38" s="212">
        <v>4.2500000000000003E-2</v>
      </c>
      <c r="F38" s="212">
        <v>5.8500000000000003E-2</v>
      </c>
      <c r="G38" s="212">
        <v>6.6500000000000004E-2</v>
      </c>
      <c r="H38" s="212">
        <v>7.2499999999999995E-2</v>
      </c>
      <c r="I38" s="212">
        <v>8.2500000000000004E-2</v>
      </c>
      <c r="J38" s="212">
        <v>9.0499999999999997E-2</v>
      </c>
      <c r="K38" s="212">
        <v>0.12</v>
      </c>
      <c r="L38" s="204"/>
      <c r="M38" s="204"/>
      <c r="N38" s="204"/>
      <c r="O38" s="204"/>
      <c r="P38" s="204"/>
      <c r="Q38" s="204"/>
      <c r="R38" s="204"/>
      <c r="S38" s="204"/>
      <c r="T38" s="204"/>
      <c r="U38" s="204"/>
      <c r="W38" s="205"/>
      <c r="X38" s="205"/>
    </row>
    <row r="39" spans="1:24">
      <c r="A39" s="203" t="s">
        <v>71</v>
      </c>
      <c r="B39" s="204">
        <f>B38*$B$34</f>
        <v>0</v>
      </c>
      <c r="C39" s="204">
        <f t="shared" ref="C39:U39" si="23">C38*$B$34</f>
        <v>0</v>
      </c>
      <c r="D39" s="204">
        <f t="shared" si="23"/>
        <v>0</v>
      </c>
      <c r="E39" s="204">
        <f t="shared" si="23"/>
        <v>2337.5</v>
      </c>
      <c r="F39" s="204">
        <f t="shared" si="23"/>
        <v>3217.5</v>
      </c>
      <c r="G39" s="204">
        <f t="shared" si="23"/>
        <v>3657.5</v>
      </c>
      <c r="H39" s="204">
        <f t="shared" si="23"/>
        <v>3987.4999999999995</v>
      </c>
      <c r="I39" s="204">
        <f t="shared" si="23"/>
        <v>4537.5</v>
      </c>
      <c r="J39" s="204">
        <f t="shared" si="23"/>
        <v>4977.5</v>
      </c>
      <c r="K39" s="204">
        <f t="shared" si="23"/>
        <v>6600</v>
      </c>
      <c r="L39" s="204">
        <f t="shared" si="23"/>
        <v>0</v>
      </c>
      <c r="M39" s="204">
        <f t="shared" si="23"/>
        <v>0</v>
      </c>
      <c r="N39" s="204">
        <f t="shared" si="23"/>
        <v>0</v>
      </c>
      <c r="O39" s="204">
        <f t="shared" si="23"/>
        <v>0</v>
      </c>
      <c r="P39" s="204">
        <f t="shared" si="23"/>
        <v>0</v>
      </c>
      <c r="Q39" s="204">
        <f t="shared" si="23"/>
        <v>0</v>
      </c>
      <c r="R39" s="204">
        <f t="shared" si="23"/>
        <v>0</v>
      </c>
      <c r="S39" s="204">
        <f t="shared" si="23"/>
        <v>0</v>
      </c>
      <c r="T39" s="204">
        <f t="shared" si="23"/>
        <v>0</v>
      </c>
      <c r="U39" s="204">
        <f t="shared" si="23"/>
        <v>0</v>
      </c>
      <c r="V39" s="6"/>
      <c r="W39" s="213"/>
      <c r="X39" s="213"/>
    </row>
    <row r="40" spans="1:24">
      <c r="A40" s="203" t="s">
        <v>72</v>
      </c>
      <c r="B40" s="207">
        <f t="shared" ref="B40:K40" si="24">B37*$J$97*(B36-B31)/365.25</f>
        <v>2981.5195071868584</v>
      </c>
      <c r="C40" s="207">
        <f t="shared" si="24"/>
        <v>2981.5195071868584</v>
      </c>
      <c r="D40" s="207">
        <f t="shared" si="24"/>
        <v>2981.5195071868584</v>
      </c>
      <c r="E40" s="207">
        <f t="shared" si="24"/>
        <v>2998.0835044490077</v>
      </c>
      <c r="F40" s="207">
        <f t="shared" si="24"/>
        <v>2728.0903490759752</v>
      </c>
      <c r="G40" s="207">
        <f t="shared" si="24"/>
        <v>2379.2525667351124</v>
      </c>
      <c r="H40" s="207">
        <f t="shared" si="24"/>
        <v>1982.7104722792608</v>
      </c>
      <c r="I40" s="207">
        <f t="shared" si="24"/>
        <v>1559.003422313484</v>
      </c>
      <c r="J40" s="207">
        <f t="shared" si="24"/>
        <v>1058.4394250513346</v>
      </c>
      <c r="K40" s="207">
        <f t="shared" si="24"/>
        <v>518.7843942505134</v>
      </c>
      <c r="L40" s="207">
        <f t="shared" ref="L40:U40" si="25">L37*$J$97*(L36-L31)/365.25</f>
        <v>1.972128141832058E-13</v>
      </c>
      <c r="M40" s="207">
        <f t="shared" si="25"/>
        <v>1.9830844092866805E-13</v>
      </c>
      <c r="N40" s="207">
        <f t="shared" si="25"/>
        <v>1.972128141832058E-13</v>
      </c>
      <c r="O40" s="207">
        <f t="shared" si="25"/>
        <v>1.972128141832058E-13</v>
      </c>
      <c r="P40" s="207">
        <f t="shared" si="25"/>
        <v>1.972128141832058E-13</v>
      </c>
      <c r="Q40" s="207">
        <f t="shared" si="25"/>
        <v>1.9830844092866805E-13</v>
      </c>
      <c r="R40" s="207">
        <f t="shared" si="25"/>
        <v>1.972128141832058E-13</v>
      </c>
      <c r="S40" s="207">
        <f t="shared" si="25"/>
        <v>1.972128141832058E-13</v>
      </c>
      <c r="T40" s="207">
        <f t="shared" si="25"/>
        <v>1.972128141832058E-13</v>
      </c>
      <c r="U40" s="207">
        <f t="shared" si="25"/>
        <v>1.9830844092866805E-13</v>
      </c>
      <c r="V40" s="6"/>
      <c r="W40" s="213"/>
      <c r="X40" s="213"/>
    </row>
    <row r="41" spans="1:24">
      <c r="A41" s="203" t="s">
        <v>73</v>
      </c>
      <c r="B41" s="208">
        <f>B37-B39</f>
        <v>55000</v>
      </c>
      <c r="C41" s="208">
        <f t="shared" ref="C41:U41" si="26">C37-C39</f>
        <v>55000</v>
      </c>
      <c r="D41" s="208">
        <f t="shared" si="26"/>
        <v>55000</v>
      </c>
      <c r="E41" s="208">
        <f t="shared" si="26"/>
        <v>52662.5</v>
      </c>
      <c r="F41" s="208">
        <f t="shared" si="26"/>
        <v>47107.5</v>
      </c>
      <c r="G41" s="208">
        <f t="shared" si="26"/>
        <v>40232.5</v>
      </c>
      <c r="H41" s="208">
        <f t="shared" si="26"/>
        <v>32587.5</v>
      </c>
      <c r="I41" s="208">
        <f t="shared" si="26"/>
        <v>24062.5</v>
      </c>
      <c r="J41" s="208">
        <f t="shared" si="26"/>
        <v>14547.5</v>
      </c>
      <c r="K41" s="208">
        <f t="shared" si="26"/>
        <v>2970</v>
      </c>
      <c r="L41" s="208">
        <f t="shared" si="26"/>
        <v>3.637978807091713E-12</v>
      </c>
      <c r="M41" s="208">
        <f t="shared" si="26"/>
        <v>3.637978807091713E-12</v>
      </c>
      <c r="N41" s="208">
        <f t="shared" si="26"/>
        <v>3.637978807091713E-12</v>
      </c>
      <c r="O41" s="208">
        <f t="shared" si="26"/>
        <v>3.637978807091713E-12</v>
      </c>
      <c r="P41" s="208">
        <f t="shared" si="26"/>
        <v>3.637978807091713E-12</v>
      </c>
      <c r="Q41" s="208">
        <f t="shared" si="26"/>
        <v>3.637978807091713E-12</v>
      </c>
      <c r="R41" s="208">
        <f t="shared" si="26"/>
        <v>3.637978807091713E-12</v>
      </c>
      <c r="S41" s="208">
        <f t="shared" si="26"/>
        <v>3.637978807091713E-12</v>
      </c>
      <c r="T41" s="208">
        <f t="shared" si="26"/>
        <v>3.637978807091713E-12</v>
      </c>
      <c r="U41" s="208">
        <f t="shared" si="26"/>
        <v>3.637978807091713E-12</v>
      </c>
      <c r="V41" s="6"/>
      <c r="W41" s="213"/>
      <c r="X41" s="213"/>
    </row>
    <row r="42" spans="1:24">
      <c r="A42" s="203"/>
      <c r="B42" s="214"/>
      <c r="C42" s="214"/>
      <c r="D42" s="214"/>
      <c r="E42" s="214"/>
      <c r="F42" s="214"/>
      <c r="G42" s="214"/>
      <c r="H42" s="214"/>
      <c r="I42" s="214"/>
      <c r="J42" s="214"/>
      <c r="K42" s="214"/>
      <c r="L42" s="214"/>
      <c r="M42" s="214"/>
      <c r="N42" s="214"/>
      <c r="O42" s="214"/>
      <c r="P42" s="214"/>
      <c r="Q42" s="214"/>
      <c r="R42" s="214"/>
      <c r="S42" s="214"/>
      <c r="T42" s="214"/>
      <c r="U42" s="214"/>
      <c r="W42" s="205"/>
      <c r="X42" s="205"/>
    </row>
    <row r="43" spans="1:24">
      <c r="A43" s="178"/>
      <c r="B43" s="201">
        <v>37256</v>
      </c>
      <c r="C43" s="201">
        <v>37621</v>
      </c>
      <c r="D43" s="201">
        <v>37986</v>
      </c>
      <c r="E43" s="201">
        <v>38352</v>
      </c>
      <c r="F43" s="201">
        <v>38717</v>
      </c>
      <c r="G43" s="201">
        <v>39082</v>
      </c>
      <c r="H43" s="201">
        <v>39447</v>
      </c>
      <c r="I43" s="201">
        <v>39813</v>
      </c>
      <c r="J43" s="201">
        <v>40178</v>
      </c>
      <c r="K43" s="201">
        <v>40543</v>
      </c>
      <c r="L43" s="201">
        <v>40908</v>
      </c>
      <c r="M43" s="201">
        <v>41274</v>
      </c>
      <c r="N43" s="201">
        <v>41639</v>
      </c>
      <c r="O43" s="201">
        <v>42004</v>
      </c>
      <c r="P43" s="201">
        <v>42369</v>
      </c>
      <c r="Q43" s="201">
        <v>42735</v>
      </c>
      <c r="R43" s="201">
        <v>43100</v>
      </c>
      <c r="S43" s="201">
        <v>43465</v>
      </c>
      <c r="T43" s="201">
        <v>43830</v>
      </c>
      <c r="U43" s="201">
        <v>44196</v>
      </c>
      <c r="W43" s="205"/>
      <c r="X43" s="205"/>
    </row>
    <row r="44" spans="1:24">
      <c r="A44" s="203" t="s">
        <v>70</v>
      </c>
      <c r="B44" s="204">
        <f>B41</f>
        <v>55000</v>
      </c>
      <c r="C44" s="204">
        <f t="shared" ref="C44:K44" si="27">C41</f>
        <v>55000</v>
      </c>
      <c r="D44" s="204">
        <f t="shared" si="27"/>
        <v>55000</v>
      </c>
      <c r="E44" s="204">
        <f t="shared" si="27"/>
        <v>52662.5</v>
      </c>
      <c r="F44" s="204">
        <f t="shared" si="27"/>
        <v>47107.5</v>
      </c>
      <c r="G44" s="204">
        <f t="shared" si="27"/>
        <v>40232.5</v>
      </c>
      <c r="H44" s="204">
        <f t="shared" si="27"/>
        <v>32587.5</v>
      </c>
      <c r="I44" s="204">
        <f t="shared" si="27"/>
        <v>24062.5</v>
      </c>
      <c r="J44" s="204">
        <f t="shared" si="27"/>
        <v>14547.5</v>
      </c>
      <c r="K44" s="204">
        <f t="shared" si="27"/>
        <v>2970</v>
      </c>
      <c r="L44" s="204">
        <f t="shared" ref="L44:U44" si="28">L41</f>
        <v>3.637978807091713E-12</v>
      </c>
      <c r="M44" s="204">
        <f t="shared" si="28"/>
        <v>3.637978807091713E-12</v>
      </c>
      <c r="N44" s="204">
        <f t="shared" si="28"/>
        <v>3.637978807091713E-12</v>
      </c>
      <c r="O44" s="204">
        <f t="shared" si="28"/>
        <v>3.637978807091713E-12</v>
      </c>
      <c r="P44" s="204">
        <f t="shared" si="28"/>
        <v>3.637978807091713E-12</v>
      </c>
      <c r="Q44" s="204">
        <f t="shared" si="28"/>
        <v>3.637978807091713E-12</v>
      </c>
      <c r="R44" s="204">
        <f t="shared" si="28"/>
        <v>3.637978807091713E-12</v>
      </c>
      <c r="S44" s="204">
        <f t="shared" si="28"/>
        <v>3.637978807091713E-12</v>
      </c>
      <c r="T44" s="204">
        <f t="shared" si="28"/>
        <v>3.637978807091713E-12</v>
      </c>
      <c r="U44" s="204">
        <f t="shared" si="28"/>
        <v>3.637978807091713E-12</v>
      </c>
      <c r="W44" s="205"/>
      <c r="X44" s="205"/>
    </row>
    <row r="45" spans="1:24">
      <c r="A45" s="203" t="s">
        <v>201</v>
      </c>
      <c r="B45" s="212">
        <v>0</v>
      </c>
      <c r="C45" s="212">
        <v>0</v>
      </c>
      <c r="D45" s="212">
        <v>0</v>
      </c>
      <c r="E45" s="212">
        <v>4.2500000000000003E-2</v>
      </c>
      <c r="F45" s="212">
        <v>5.8500000000000003E-2</v>
      </c>
      <c r="G45" s="212">
        <v>6.6500000000000004E-2</v>
      </c>
      <c r="H45" s="212">
        <v>7.2499999999999995E-2</v>
      </c>
      <c r="I45" s="212">
        <v>8.2500000000000004E-2</v>
      </c>
      <c r="J45" s="212">
        <v>9.0499999999999997E-2</v>
      </c>
      <c r="K45" s="212">
        <v>5.3999999999999937E-2</v>
      </c>
      <c r="L45" s="204"/>
      <c r="M45" s="204"/>
      <c r="N45" s="204"/>
      <c r="O45" s="204"/>
      <c r="P45" s="204"/>
      <c r="Q45" s="204"/>
      <c r="R45" s="204"/>
      <c r="S45" s="204"/>
      <c r="T45" s="204"/>
      <c r="U45" s="204"/>
      <c r="W45" s="205"/>
      <c r="X45" s="205"/>
    </row>
    <row r="46" spans="1:24">
      <c r="A46" s="203" t="s">
        <v>71</v>
      </c>
      <c r="B46" s="204">
        <f t="shared" ref="B46:U46" si="29">B45*$B$34</f>
        <v>0</v>
      </c>
      <c r="C46" s="204">
        <f t="shared" si="29"/>
        <v>0</v>
      </c>
      <c r="D46" s="204">
        <f t="shared" si="29"/>
        <v>0</v>
      </c>
      <c r="E46" s="204">
        <f t="shared" si="29"/>
        <v>2337.5</v>
      </c>
      <c r="F46" s="204">
        <f t="shared" si="29"/>
        <v>3217.5</v>
      </c>
      <c r="G46" s="204">
        <f t="shared" si="29"/>
        <v>3657.5</v>
      </c>
      <c r="H46" s="204">
        <f t="shared" si="29"/>
        <v>3987.4999999999995</v>
      </c>
      <c r="I46" s="204">
        <f t="shared" si="29"/>
        <v>4537.5</v>
      </c>
      <c r="J46" s="204">
        <f t="shared" si="29"/>
        <v>4977.5</v>
      </c>
      <c r="K46" s="204">
        <f t="shared" si="29"/>
        <v>2969.9999999999964</v>
      </c>
      <c r="L46" s="204">
        <f t="shared" si="29"/>
        <v>0</v>
      </c>
      <c r="M46" s="204">
        <f t="shared" si="29"/>
        <v>0</v>
      </c>
      <c r="N46" s="204">
        <f t="shared" si="29"/>
        <v>0</v>
      </c>
      <c r="O46" s="204">
        <f t="shared" si="29"/>
        <v>0</v>
      </c>
      <c r="P46" s="204">
        <f t="shared" si="29"/>
        <v>0</v>
      </c>
      <c r="Q46" s="204">
        <f t="shared" si="29"/>
        <v>0</v>
      </c>
      <c r="R46" s="204">
        <f t="shared" si="29"/>
        <v>0</v>
      </c>
      <c r="S46" s="204">
        <f t="shared" si="29"/>
        <v>0</v>
      </c>
      <c r="T46" s="204">
        <f t="shared" si="29"/>
        <v>0</v>
      </c>
      <c r="U46" s="204">
        <f t="shared" si="29"/>
        <v>0</v>
      </c>
      <c r="W46" s="205"/>
      <c r="X46" s="205"/>
    </row>
    <row r="47" spans="1:24">
      <c r="A47" s="203" t="s">
        <v>72</v>
      </c>
      <c r="B47" s="207">
        <f>B44*$J$97*(B43-B36)/365.25</f>
        <v>3047.7754962354552</v>
      </c>
      <c r="C47" s="207">
        <f t="shared" ref="C47:K47" si="30">C44*$J$97*(C43-C36)/365.25</f>
        <v>3047.7754962354552</v>
      </c>
      <c r="D47" s="207">
        <f t="shared" si="30"/>
        <v>3047.7754962354552</v>
      </c>
      <c r="E47" s="207">
        <f t="shared" si="30"/>
        <v>2918.2450376454485</v>
      </c>
      <c r="F47" s="207">
        <f t="shared" si="30"/>
        <v>2610.4197125256674</v>
      </c>
      <c r="G47" s="207">
        <f t="shared" si="30"/>
        <v>2229.4477754962354</v>
      </c>
      <c r="H47" s="207">
        <f t="shared" si="30"/>
        <v>1805.8069815195072</v>
      </c>
      <c r="I47" s="207">
        <f t="shared" si="30"/>
        <v>1333.4017796030116</v>
      </c>
      <c r="J47" s="207">
        <f t="shared" si="30"/>
        <v>806.13661875427783</v>
      </c>
      <c r="K47" s="207">
        <f t="shared" si="30"/>
        <v>164.57987679671456</v>
      </c>
      <c r="L47" s="207">
        <f t="shared" ref="L47:U47" si="31">L44*$J$97*(L43-L36)/365.25</f>
        <v>2.0159532116505479E-13</v>
      </c>
      <c r="M47" s="207">
        <f t="shared" si="31"/>
        <v>2.0159532116505479E-13</v>
      </c>
      <c r="N47" s="207">
        <f t="shared" si="31"/>
        <v>2.0159532116505479E-13</v>
      </c>
      <c r="O47" s="207">
        <f t="shared" si="31"/>
        <v>2.0159532116505479E-13</v>
      </c>
      <c r="P47" s="207">
        <f t="shared" si="31"/>
        <v>2.0159532116505479E-13</v>
      </c>
      <c r="Q47" s="207">
        <f t="shared" si="31"/>
        <v>2.0159532116505479E-13</v>
      </c>
      <c r="R47" s="207">
        <f t="shared" si="31"/>
        <v>2.0159532116505479E-13</v>
      </c>
      <c r="S47" s="207">
        <f t="shared" si="31"/>
        <v>2.0159532116505479E-13</v>
      </c>
      <c r="T47" s="207">
        <f t="shared" si="31"/>
        <v>2.0159532116505479E-13</v>
      </c>
      <c r="U47" s="207">
        <f t="shared" si="31"/>
        <v>2.0159532116505479E-13</v>
      </c>
      <c r="W47" s="205"/>
      <c r="X47" s="205"/>
    </row>
    <row r="48" spans="1:24">
      <c r="A48" s="203" t="s">
        <v>73</v>
      </c>
      <c r="B48" s="208">
        <f>B44-B46</f>
        <v>55000</v>
      </c>
      <c r="C48" s="208">
        <f t="shared" ref="C48:U48" si="32">C44-C46</f>
        <v>55000</v>
      </c>
      <c r="D48" s="208">
        <f t="shared" si="32"/>
        <v>55000</v>
      </c>
      <c r="E48" s="208">
        <f t="shared" si="32"/>
        <v>50325</v>
      </c>
      <c r="F48" s="208">
        <f t="shared" si="32"/>
        <v>43890</v>
      </c>
      <c r="G48" s="208">
        <f t="shared" si="32"/>
        <v>36575</v>
      </c>
      <c r="H48" s="208">
        <f t="shared" si="32"/>
        <v>28600</v>
      </c>
      <c r="I48" s="208">
        <f t="shared" si="32"/>
        <v>19525</v>
      </c>
      <c r="J48" s="208">
        <f t="shared" si="32"/>
        <v>9570</v>
      </c>
      <c r="K48" s="208">
        <f t="shared" si="32"/>
        <v>3.637978807091713E-12</v>
      </c>
      <c r="L48" s="208">
        <f t="shared" si="32"/>
        <v>3.637978807091713E-12</v>
      </c>
      <c r="M48" s="208">
        <f t="shared" si="32"/>
        <v>3.637978807091713E-12</v>
      </c>
      <c r="N48" s="208">
        <f t="shared" si="32"/>
        <v>3.637978807091713E-12</v>
      </c>
      <c r="O48" s="208">
        <f t="shared" si="32"/>
        <v>3.637978807091713E-12</v>
      </c>
      <c r="P48" s="208">
        <f t="shared" si="32"/>
        <v>3.637978807091713E-12</v>
      </c>
      <c r="Q48" s="208">
        <f t="shared" si="32"/>
        <v>3.637978807091713E-12</v>
      </c>
      <c r="R48" s="208">
        <f t="shared" si="32"/>
        <v>3.637978807091713E-12</v>
      </c>
      <c r="S48" s="208">
        <f t="shared" si="32"/>
        <v>3.637978807091713E-12</v>
      </c>
      <c r="T48" s="208">
        <f t="shared" si="32"/>
        <v>3.637978807091713E-12</v>
      </c>
      <c r="U48" s="208">
        <f t="shared" si="32"/>
        <v>3.637978807091713E-12</v>
      </c>
      <c r="W48" s="205"/>
      <c r="X48" s="205"/>
    </row>
    <row r="49" spans="1:24">
      <c r="A49" s="203"/>
      <c r="B49" s="211"/>
      <c r="C49" s="211"/>
      <c r="D49" s="211"/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  <c r="S49" s="211"/>
      <c r="T49" s="211"/>
      <c r="U49" s="211"/>
      <c r="W49" s="205"/>
      <c r="X49" s="205"/>
    </row>
    <row r="50" spans="1:24">
      <c r="A50" s="200" t="s">
        <v>15</v>
      </c>
      <c r="B50" s="6"/>
      <c r="C50" s="199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W50" s="205"/>
      <c r="X50" s="205"/>
    </row>
    <row r="51" spans="1:24">
      <c r="B51" s="201">
        <f>'Summary Output'!$B$14</f>
        <v>36892</v>
      </c>
      <c r="C51" s="201">
        <v>37257</v>
      </c>
      <c r="D51" s="201">
        <v>37622</v>
      </c>
      <c r="E51" s="201">
        <v>37987</v>
      </c>
      <c r="F51" s="201">
        <v>38353</v>
      </c>
      <c r="G51" s="201">
        <v>38718</v>
      </c>
      <c r="H51" s="201">
        <v>39083</v>
      </c>
      <c r="I51" s="201">
        <v>39448</v>
      </c>
      <c r="J51" s="201">
        <v>39814</v>
      </c>
      <c r="K51" s="201">
        <v>40179</v>
      </c>
      <c r="L51" s="201">
        <v>40544</v>
      </c>
      <c r="M51" s="201">
        <v>40909</v>
      </c>
      <c r="N51" s="201">
        <v>41275</v>
      </c>
      <c r="O51" s="201">
        <v>41640</v>
      </c>
      <c r="P51" s="201">
        <v>42005</v>
      </c>
      <c r="Q51" s="201">
        <v>42370</v>
      </c>
      <c r="R51" s="201">
        <v>42736</v>
      </c>
      <c r="S51" s="201">
        <v>43101</v>
      </c>
      <c r="T51" s="201">
        <v>43466</v>
      </c>
      <c r="U51" s="201">
        <v>43831</v>
      </c>
      <c r="W51" s="205"/>
      <c r="X51" s="205"/>
    </row>
    <row r="52" spans="1:24">
      <c r="A52" s="203" t="s">
        <v>70</v>
      </c>
      <c r="B52" s="204">
        <v>0</v>
      </c>
      <c r="C52" s="204">
        <f>B68</f>
        <v>296000</v>
      </c>
      <c r="D52" s="204">
        <f t="shared" ref="D52:U52" si="33">C68</f>
        <v>296000</v>
      </c>
      <c r="E52" s="204">
        <f t="shared" si="33"/>
        <v>296000</v>
      </c>
      <c r="F52" s="204">
        <f t="shared" si="33"/>
        <v>296000</v>
      </c>
      <c r="G52" s="204">
        <f t="shared" si="33"/>
        <v>296000</v>
      </c>
      <c r="H52" s="204">
        <f t="shared" si="33"/>
        <v>296000</v>
      </c>
      <c r="I52" s="204">
        <f t="shared" si="33"/>
        <v>296000</v>
      </c>
      <c r="J52" s="204">
        <f t="shared" si="33"/>
        <v>296000</v>
      </c>
      <c r="K52" s="204">
        <f t="shared" si="33"/>
        <v>296000</v>
      </c>
      <c r="L52" s="204">
        <f t="shared" si="33"/>
        <v>291560</v>
      </c>
      <c r="M52" s="204">
        <f t="shared" si="33"/>
        <v>261960</v>
      </c>
      <c r="N52" s="204">
        <f t="shared" si="33"/>
        <v>232360</v>
      </c>
      <c r="O52" s="204">
        <f t="shared" si="33"/>
        <v>202760</v>
      </c>
      <c r="P52" s="204">
        <f t="shared" si="33"/>
        <v>173160</v>
      </c>
      <c r="Q52" s="204">
        <f t="shared" si="33"/>
        <v>142080</v>
      </c>
      <c r="R52" s="204">
        <f t="shared" si="33"/>
        <v>109520</v>
      </c>
      <c r="S52" s="204">
        <f t="shared" si="33"/>
        <v>76960</v>
      </c>
      <c r="T52" s="204">
        <f t="shared" si="33"/>
        <v>50320</v>
      </c>
      <c r="U52" s="204">
        <f t="shared" si="33"/>
        <v>23680</v>
      </c>
      <c r="W52" s="205"/>
      <c r="X52" s="205"/>
    </row>
    <row r="53" spans="1:24">
      <c r="A53" s="215" t="s">
        <v>72</v>
      </c>
      <c r="B53" s="206">
        <v>0</v>
      </c>
      <c r="C53" s="207">
        <f t="shared" ref="C53:U53" si="34">C52*$O$97*(C51-B63)/365.25</f>
        <v>90.765229295003422</v>
      </c>
      <c r="D53" s="207">
        <f t="shared" si="34"/>
        <v>90.765229295003422</v>
      </c>
      <c r="E53" s="207">
        <f t="shared" si="34"/>
        <v>90.765229295003422</v>
      </c>
      <c r="F53" s="207">
        <f t="shared" si="34"/>
        <v>90.765229295003422</v>
      </c>
      <c r="G53" s="207">
        <f t="shared" si="34"/>
        <v>90.765229295003422</v>
      </c>
      <c r="H53" s="207">
        <f t="shared" si="34"/>
        <v>90.765229295003422</v>
      </c>
      <c r="I53" s="207">
        <f t="shared" si="34"/>
        <v>90.765229295003422</v>
      </c>
      <c r="J53" s="207">
        <f t="shared" si="34"/>
        <v>90.765229295003422</v>
      </c>
      <c r="K53" s="207">
        <f t="shared" si="34"/>
        <v>90.765229295003422</v>
      </c>
      <c r="L53" s="207">
        <f t="shared" si="34"/>
        <v>89.40375085557838</v>
      </c>
      <c r="M53" s="207">
        <f t="shared" si="34"/>
        <v>80.327227926078024</v>
      </c>
      <c r="N53" s="207">
        <f t="shared" si="34"/>
        <v>71.250704996577682</v>
      </c>
      <c r="O53" s="207">
        <f t="shared" si="34"/>
        <v>62.174182067077339</v>
      </c>
      <c r="P53" s="207">
        <f t="shared" si="34"/>
        <v>53.097659137577004</v>
      </c>
      <c r="Q53" s="207">
        <f t="shared" si="34"/>
        <v>43.567310061601646</v>
      </c>
      <c r="R53" s="207">
        <f t="shared" si="34"/>
        <v>33.583134839151263</v>
      </c>
      <c r="S53" s="207">
        <f t="shared" si="34"/>
        <v>23.598959616700892</v>
      </c>
      <c r="T53" s="207">
        <f t="shared" si="34"/>
        <v>15.430088980150583</v>
      </c>
      <c r="U53" s="207">
        <f t="shared" si="34"/>
        <v>7.2612183436002731</v>
      </c>
      <c r="W53" s="205"/>
      <c r="X53" s="205"/>
    </row>
    <row r="54" spans="1:24">
      <c r="A54" s="215" t="s">
        <v>73</v>
      </c>
      <c r="B54" s="168">
        <f>'Summary Output'!D15</f>
        <v>296000</v>
      </c>
      <c r="C54" s="208">
        <f>C52</f>
        <v>296000</v>
      </c>
      <c r="D54" s="208">
        <f t="shared" ref="D54:U54" si="35">D52</f>
        <v>296000</v>
      </c>
      <c r="E54" s="208">
        <f t="shared" si="35"/>
        <v>296000</v>
      </c>
      <c r="F54" s="208">
        <f t="shared" si="35"/>
        <v>296000</v>
      </c>
      <c r="G54" s="208">
        <f t="shared" si="35"/>
        <v>296000</v>
      </c>
      <c r="H54" s="208">
        <f t="shared" si="35"/>
        <v>296000</v>
      </c>
      <c r="I54" s="208">
        <f t="shared" si="35"/>
        <v>296000</v>
      </c>
      <c r="J54" s="208">
        <f t="shared" si="35"/>
        <v>296000</v>
      </c>
      <c r="K54" s="208">
        <f t="shared" si="35"/>
        <v>296000</v>
      </c>
      <c r="L54" s="208">
        <f t="shared" si="35"/>
        <v>291560</v>
      </c>
      <c r="M54" s="208">
        <f t="shared" si="35"/>
        <v>261960</v>
      </c>
      <c r="N54" s="208">
        <f t="shared" si="35"/>
        <v>232360</v>
      </c>
      <c r="O54" s="208">
        <f t="shared" si="35"/>
        <v>202760</v>
      </c>
      <c r="P54" s="208">
        <f t="shared" si="35"/>
        <v>173160</v>
      </c>
      <c r="Q54" s="208">
        <f t="shared" si="35"/>
        <v>142080</v>
      </c>
      <c r="R54" s="208">
        <f t="shared" si="35"/>
        <v>109520</v>
      </c>
      <c r="S54" s="208">
        <f t="shared" si="35"/>
        <v>76960</v>
      </c>
      <c r="T54" s="208">
        <f t="shared" si="35"/>
        <v>50320</v>
      </c>
      <c r="U54" s="208">
        <f t="shared" si="35"/>
        <v>23680</v>
      </c>
      <c r="W54" s="209">
        <f>SUM(B59:U59,B66:U66)</f>
        <v>296000</v>
      </c>
      <c r="X54" s="210">
        <f>B54-W54</f>
        <v>0</v>
      </c>
    </row>
    <row r="55" spans="1:24">
      <c r="B55" s="211"/>
      <c r="C55" s="199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W55" s="205"/>
      <c r="X55" s="205"/>
    </row>
    <row r="56" spans="1:24">
      <c r="A56" s="199"/>
      <c r="B56" s="201">
        <v>37072</v>
      </c>
      <c r="C56" s="201">
        <v>37437</v>
      </c>
      <c r="D56" s="201">
        <v>37802</v>
      </c>
      <c r="E56" s="201">
        <v>38168</v>
      </c>
      <c r="F56" s="201">
        <v>38533</v>
      </c>
      <c r="G56" s="201">
        <v>38898</v>
      </c>
      <c r="H56" s="201">
        <v>39263</v>
      </c>
      <c r="I56" s="201">
        <v>39629</v>
      </c>
      <c r="J56" s="201">
        <v>39994</v>
      </c>
      <c r="K56" s="201">
        <v>40359</v>
      </c>
      <c r="L56" s="201">
        <v>40724</v>
      </c>
      <c r="M56" s="201">
        <v>41090</v>
      </c>
      <c r="N56" s="201">
        <v>41455</v>
      </c>
      <c r="O56" s="201">
        <v>41820</v>
      </c>
      <c r="P56" s="201">
        <v>42185</v>
      </c>
      <c r="Q56" s="201">
        <v>42551</v>
      </c>
      <c r="R56" s="201">
        <v>42916</v>
      </c>
      <c r="S56" s="201">
        <v>43281</v>
      </c>
      <c r="T56" s="201">
        <v>43646</v>
      </c>
      <c r="U56" s="201">
        <v>44012</v>
      </c>
      <c r="W56" s="205"/>
      <c r="X56" s="205"/>
    </row>
    <row r="57" spans="1:24">
      <c r="A57" s="215" t="s">
        <v>70</v>
      </c>
      <c r="B57" s="204">
        <f>B54</f>
        <v>296000</v>
      </c>
      <c r="C57" s="204">
        <f>C54</f>
        <v>296000</v>
      </c>
      <c r="D57" s="204">
        <f t="shared" ref="D57:U57" si="36">D54</f>
        <v>296000</v>
      </c>
      <c r="E57" s="204">
        <f t="shared" si="36"/>
        <v>296000</v>
      </c>
      <c r="F57" s="204">
        <f t="shared" si="36"/>
        <v>296000</v>
      </c>
      <c r="G57" s="204">
        <f t="shared" si="36"/>
        <v>296000</v>
      </c>
      <c r="H57" s="204">
        <f t="shared" si="36"/>
        <v>296000</v>
      </c>
      <c r="I57" s="204">
        <f t="shared" si="36"/>
        <v>296000</v>
      </c>
      <c r="J57" s="204">
        <f t="shared" si="36"/>
        <v>296000</v>
      </c>
      <c r="K57" s="204">
        <f t="shared" si="36"/>
        <v>296000</v>
      </c>
      <c r="L57" s="204">
        <f t="shared" si="36"/>
        <v>291560</v>
      </c>
      <c r="M57" s="204">
        <f t="shared" si="36"/>
        <v>261960</v>
      </c>
      <c r="N57" s="204">
        <f t="shared" si="36"/>
        <v>232360</v>
      </c>
      <c r="O57" s="204">
        <f t="shared" si="36"/>
        <v>202760</v>
      </c>
      <c r="P57" s="204">
        <f t="shared" si="36"/>
        <v>173160</v>
      </c>
      <c r="Q57" s="204">
        <f t="shared" si="36"/>
        <v>142080</v>
      </c>
      <c r="R57" s="204">
        <f t="shared" si="36"/>
        <v>109520</v>
      </c>
      <c r="S57" s="204">
        <f t="shared" si="36"/>
        <v>76960</v>
      </c>
      <c r="T57" s="204">
        <f t="shared" si="36"/>
        <v>50320</v>
      </c>
      <c r="U57" s="204">
        <f t="shared" si="36"/>
        <v>23680</v>
      </c>
      <c r="W57" s="205"/>
      <c r="X57" s="205"/>
    </row>
    <row r="58" spans="1:24">
      <c r="A58" s="203" t="s">
        <v>201</v>
      </c>
      <c r="B58" s="212">
        <v>0</v>
      </c>
      <c r="C58" s="212">
        <v>0</v>
      </c>
      <c r="D58" s="212">
        <v>0</v>
      </c>
      <c r="E58" s="212">
        <v>0</v>
      </c>
      <c r="F58" s="212">
        <v>0</v>
      </c>
      <c r="G58" s="212">
        <v>0</v>
      </c>
      <c r="H58" s="212">
        <v>0</v>
      </c>
      <c r="I58" s="212">
        <v>0</v>
      </c>
      <c r="J58" s="212">
        <v>0</v>
      </c>
      <c r="K58" s="212">
        <v>0</v>
      </c>
      <c r="L58" s="212">
        <v>0.05</v>
      </c>
      <c r="M58" s="212">
        <v>0.05</v>
      </c>
      <c r="N58" s="212">
        <v>0.05</v>
      </c>
      <c r="O58" s="212">
        <v>0.05</v>
      </c>
      <c r="P58" s="212">
        <v>5.2499999999999998E-2</v>
      </c>
      <c r="Q58" s="212">
        <v>5.5E-2</v>
      </c>
      <c r="R58" s="212">
        <v>5.5E-2</v>
      </c>
      <c r="S58" s="212">
        <v>4.4999999999999998E-2</v>
      </c>
      <c r="T58" s="212">
        <v>4.4999999999999998E-2</v>
      </c>
      <c r="U58" s="212">
        <v>4.4999999999999998E-2</v>
      </c>
      <c r="W58" s="205"/>
      <c r="X58" s="205"/>
    </row>
    <row r="59" spans="1:24">
      <c r="A59" s="215" t="s">
        <v>71</v>
      </c>
      <c r="B59" s="204">
        <f>$B$54*B58</f>
        <v>0</v>
      </c>
      <c r="C59" s="204">
        <f t="shared" ref="C59:U59" si="37">$B$54*C58</f>
        <v>0</v>
      </c>
      <c r="D59" s="204">
        <f t="shared" si="37"/>
        <v>0</v>
      </c>
      <c r="E59" s="204">
        <f t="shared" si="37"/>
        <v>0</v>
      </c>
      <c r="F59" s="204">
        <f t="shared" si="37"/>
        <v>0</v>
      </c>
      <c r="G59" s="204">
        <f t="shared" si="37"/>
        <v>0</v>
      </c>
      <c r="H59" s="204">
        <f t="shared" si="37"/>
        <v>0</v>
      </c>
      <c r="I59" s="204">
        <f t="shared" si="37"/>
        <v>0</v>
      </c>
      <c r="J59" s="204">
        <f t="shared" si="37"/>
        <v>0</v>
      </c>
      <c r="K59" s="204">
        <f t="shared" si="37"/>
        <v>0</v>
      </c>
      <c r="L59" s="204">
        <f t="shared" si="37"/>
        <v>14800</v>
      </c>
      <c r="M59" s="204">
        <f t="shared" si="37"/>
        <v>14800</v>
      </c>
      <c r="N59" s="204">
        <f t="shared" si="37"/>
        <v>14800</v>
      </c>
      <c r="O59" s="204">
        <f t="shared" si="37"/>
        <v>14800</v>
      </c>
      <c r="P59" s="204">
        <f t="shared" si="37"/>
        <v>15540</v>
      </c>
      <c r="Q59" s="204">
        <f t="shared" si="37"/>
        <v>16280</v>
      </c>
      <c r="R59" s="204">
        <f t="shared" si="37"/>
        <v>16280</v>
      </c>
      <c r="S59" s="204">
        <f t="shared" si="37"/>
        <v>13320</v>
      </c>
      <c r="T59" s="204">
        <f t="shared" si="37"/>
        <v>13320</v>
      </c>
      <c r="U59" s="204">
        <f t="shared" si="37"/>
        <v>13320</v>
      </c>
      <c r="W59" s="216"/>
      <c r="X59" s="216"/>
    </row>
    <row r="60" spans="1:24">
      <c r="A60" s="203" t="s">
        <v>72</v>
      </c>
      <c r="B60" s="207">
        <f t="shared" ref="B60:U60" si="38">B57*$O$97*(B56-B51)/365.25</f>
        <v>16337.741273100615</v>
      </c>
      <c r="C60" s="207">
        <f t="shared" si="38"/>
        <v>16337.741273100615</v>
      </c>
      <c r="D60" s="207">
        <f t="shared" si="38"/>
        <v>16337.741273100615</v>
      </c>
      <c r="E60" s="207">
        <f t="shared" si="38"/>
        <v>16428.506502395619</v>
      </c>
      <c r="F60" s="207">
        <f t="shared" si="38"/>
        <v>16337.741273100615</v>
      </c>
      <c r="G60" s="207">
        <f t="shared" si="38"/>
        <v>16337.741273100615</v>
      </c>
      <c r="H60" s="207">
        <f t="shared" si="38"/>
        <v>16337.741273100615</v>
      </c>
      <c r="I60" s="207">
        <f t="shared" si="38"/>
        <v>16428.506502395619</v>
      </c>
      <c r="J60" s="207">
        <f t="shared" si="38"/>
        <v>16337.741273100615</v>
      </c>
      <c r="K60" s="207">
        <f t="shared" si="38"/>
        <v>16337.741273100615</v>
      </c>
      <c r="L60" s="207">
        <f t="shared" si="38"/>
        <v>16092.675154004108</v>
      </c>
      <c r="M60" s="207">
        <f t="shared" si="38"/>
        <v>14539.228254620124</v>
      </c>
      <c r="N60" s="207">
        <f t="shared" si="38"/>
        <v>12825.126899383982</v>
      </c>
      <c r="O60" s="207">
        <f t="shared" si="38"/>
        <v>11191.35277207392</v>
      </c>
      <c r="P60" s="207">
        <f t="shared" si="38"/>
        <v>9557.578644763862</v>
      </c>
      <c r="Q60" s="207">
        <f t="shared" si="38"/>
        <v>7885.6831211498984</v>
      </c>
      <c r="R60" s="207">
        <f t="shared" si="38"/>
        <v>6044.9642710472281</v>
      </c>
      <c r="S60" s="207">
        <f t="shared" si="38"/>
        <v>4247.81273100616</v>
      </c>
      <c r="T60" s="207">
        <f t="shared" si="38"/>
        <v>2777.4160164271048</v>
      </c>
      <c r="U60" s="207">
        <f t="shared" si="38"/>
        <v>1314.2805201916494</v>
      </c>
      <c r="W60" s="216"/>
      <c r="X60" s="216"/>
    </row>
    <row r="61" spans="1:24">
      <c r="A61" s="203" t="s">
        <v>73</v>
      </c>
      <c r="B61" s="208">
        <f>B57-B59</f>
        <v>296000</v>
      </c>
      <c r="C61" s="208">
        <f t="shared" ref="C61:U61" si="39">C57-C59</f>
        <v>296000</v>
      </c>
      <c r="D61" s="208">
        <f t="shared" si="39"/>
        <v>296000</v>
      </c>
      <c r="E61" s="208">
        <f t="shared" si="39"/>
        <v>296000</v>
      </c>
      <c r="F61" s="208">
        <f t="shared" si="39"/>
        <v>296000</v>
      </c>
      <c r="G61" s="208">
        <f t="shared" si="39"/>
        <v>296000</v>
      </c>
      <c r="H61" s="208">
        <f t="shared" si="39"/>
        <v>296000</v>
      </c>
      <c r="I61" s="208">
        <f t="shared" si="39"/>
        <v>296000</v>
      </c>
      <c r="J61" s="208">
        <f t="shared" si="39"/>
        <v>296000</v>
      </c>
      <c r="K61" s="208">
        <f t="shared" si="39"/>
        <v>296000</v>
      </c>
      <c r="L61" s="208">
        <f t="shared" si="39"/>
        <v>276760</v>
      </c>
      <c r="M61" s="208">
        <f t="shared" si="39"/>
        <v>247160</v>
      </c>
      <c r="N61" s="208">
        <f t="shared" si="39"/>
        <v>217560</v>
      </c>
      <c r="O61" s="208">
        <f t="shared" si="39"/>
        <v>187960</v>
      </c>
      <c r="P61" s="208">
        <f t="shared" si="39"/>
        <v>157620</v>
      </c>
      <c r="Q61" s="208">
        <f t="shared" si="39"/>
        <v>125800</v>
      </c>
      <c r="R61" s="208">
        <f t="shared" si="39"/>
        <v>93240</v>
      </c>
      <c r="S61" s="208">
        <f t="shared" si="39"/>
        <v>63640</v>
      </c>
      <c r="T61" s="208">
        <f t="shared" si="39"/>
        <v>37000</v>
      </c>
      <c r="U61" s="208">
        <f t="shared" si="39"/>
        <v>10360</v>
      </c>
      <c r="W61" s="216"/>
      <c r="X61" s="216"/>
    </row>
    <row r="62" spans="1:24">
      <c r="A62" s="203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  <c r="U62" s="214"/>
      <c r="W62" s="216"/>
      <c r="X62" s="216"/>
    </row>
    <row r="63" spans="1:24">
      <c r="A63" s="178"/>
      <c r="B63" s="201">
        <v>37256</v>
      </c>
      <c r="C63" s="201">
        <v>37621</v>
      </c>
      <c r="D63" s="201">
        <v>37986</v>
      </c>
      <c r="E63" s="201">
        <v>38352</v>
      </c>
      <c r="F63" s="201">
        <v>38717</v>
      </c>
      <c r="G63" s="201">
        <v>39082</v>
      </c>
      <c r="H63" s="201">
        <v>39447</v>
      </c>
      <c r="I63" s="201">
        <v>39813</v>
      </c>
      <c r="J63" s="201">
        <v>40178</v>
      </c>
      <c r="K63" s="201">
        <v>40543</v>
      </c>
      <c r="L63" s="201">
        <v>40908</v>
      </c>
      <c r="M63" s="201">
        <v>41274</v>
      </c>
      <c r="N63" s="201">
        <v>41639</v>
      </c>
      <c r="O63" s="201">
        <v>42004</v>
      </c>
      <c r="P63" s="201">
        <v>42369</v>
      </c>
      <c r="Q63" s="201">
        <v>42735</v>
      </c>
      <c r="R63" s="201">
        <v>43100</v>
      </c>
      <c r="S63" s="201">
        <v>43465</v>
      </c>
      <c r="T63" s="201">
        <v>43830</v>
      </c>
      <c r="U63" s="201">
        <v>44196</v>
      </c>
      <c r="W63" s="216"/>
      <c r="X63" s="216"/>
    </row>
    <row r="64" spans="1:24">
      <c r="A64" s="203" t="s">
        <v>70</v>
      </c>
      <c r="B64" s="204">
        <f>B61</f>
        <v>296000</v>
      </c>
      <c r="C64" s="204">
        <f t="shared" ref="C64:U64" si="40">C61</f>
        <v>296000</v>
      </c>
      <c r="D64" s="204">
        <f t="shared" si="40"/>
        <v>296000</v>
      </c>
      <c r="E64" s="204">
        <f t="shared" si="40"/>
        <v>296000</v>
      </c>
      <c r="F64" s="204">
        <f t="shared" si="40"/>
        <v>296000</v>
      </c>
      <c r="G64" s="204">
        <f t="shared" si="40"/>
        <v>296000</v>
      </c>
      <c r="H64" s="204">
        <f t="shared" si="40"/>
        <v>296000</v>
      </c>
      <c r="I64" s="204">
        <f t="shared" si="40"/>
        <v>296000</v>
      </c>
      <c r="J64" s="204">
        <f t="shared" si="40"/>
        <v>296000</v>
      </c>
      <c r="K64" s="204">
        <f t="shared" si="40"/>
        <v>296000</v>
      </c>
      <c r="L64" s="204">
        <f t="shared" si="40"/>
        <v>276760</v>
      </c>
      <c r="M64" s="204">
        <f t="shared" si="40"/>
        <v>247160</v>
      </c>
      <c r="N64" s="204">
        <f t="shared" si="40"/>
        <v>217560</v>
      </c>
      <c r="O64" s="204">
        <f t="shared" si="40"/>
        <v>187960</v>
      </c>
      <c r="P64" s="204">
        <f t="shared" si="40"/>
        <v>157620</v>
      </c>
      <c r="Q64" s="204">
        <f t="shared" si="40"/>
        <v>125800</v>
      </c>
      <c r="R64" s="204">
        <f t="shared" si="40"/>
        <v>93240</v>
      </c>
      <c r="S64" s="204">
        <f t="shared" si="40"/>
        <v>63640</v>
      </c>
      <c r="T64" s="204">
        <f t="shared" si="40"/>
        <v>37000</v>
      </c>
      <c r="U64" s="204">
        <f t="shared" si="40"/>
        <v>10360</v>
      </c>
      <c r="W64" s="216"/>
      <c r="X64" s="216"/>
    </row>
    <row r="65" spans="1:24">
      <c r="A65" s="203" t="s">
        <v>201</v>
      </c>
      <c r="B65" s="212">
        <v>0</v>
      </c>
      <c r="C65" s="212">
        <v>0</v>
      </c>
      <c r="D65" s="212">
        <v>0</v>
      </c>
      <c r="E65" s="212">
        <v>0</v>
      </c>
      <c r="F65" s="212">
        <v>0</v>
      </c>
      <c r="G65" s="212">
        <v>0</v>
      </c>
      <c r="H65" s="212">
        <v>0</v>
      </c>
      <c r="I65" s="212">
        <v>0</v>
      </c>
      <c r="J65" s="212">
        <v>0</v>
      </c>
      <c r="K65" s="212">
        <v>1.4999999999999999E-2</v>
      </c>
      <c r="L65" s="212">
        <v>0.05</v>
      </c>
      <c r="M65" s="212">
        <v>0.05</v>
      </c>
      <c r="N65" s="212">
        <v>0.05</v>
      </c>
      <c r="O65" s="212">
        <v>0.05</v>
      </c>
      <c r="P65" s="212">
        <v>5.2499999999999998E-2</v>
      </c>
      <c r="Q65" s="212">
        <v>5.5E-2</v>
      </c>
      <c r="R65" s="212">
        <v>5.5E-2</v>
      </c>
      <c r="S65" s="212">
        <v>4.4999999999999998E-2</v>
      </c>
      <c r="T65" s="212">
        <v>4.4999999999999998E-2</v>
      </c>
      <c r="U65" s="212">
        <v>3.5000000000000087E-2</v>
      </c>
      <c r="W65" s="205"/>
      <c r="X65" s="205"/>
    </row>
    <row r="66" spans="1:24">
      <c r="A66" s="215" t="s">
        <v>71</v>
      </c>
      <c r="B66" s="204">
        <f>B65*$B$54</f>
        <v>0</v>
      </c>
      <c r="C66" s="204">
        <f t="shared" ref="C66:U66" si="41">C65*$B$54</f>
        <v>0</v>
      </c>
      <c r="D66" s="204">
        <f t="shared" si="41"/>
        <v>0</v>
      </c>
      <c r="E66" s="204">
        <f t="shared" si="41"/>
        <v>0</v>
      </c>
      <c r="F66" s="204">
        <f t="shared" si="41"/>
        <v>0</v>
      </c>
      <c r="G66" s="204">
        <f t="shared" si="41"/>
        <v>0</v>
      </c>
      <c r="H66" s="204">
        <f t="shared" si="41"/>
        <v>0</v>
      </c>
      <c r="I66" s="204">
        <f t="shared" si="41"/>
        <v>0</v>
      </c>
      <c r="J66" s="204">
        <f t="shared" si="41"/>
        <v>0</v>
      </c>
      <c r="K66" s="204">
        <f t="shared" si="41"/>
        <v>4440</v>
      </c>
      <c r="L66" s="204">
        <f t="shared" si="41"/>
        <v>14800</v>
      </c>
      <c r="M66" s="204">
        <f t="shared" si="41"/>
        <v>14800</v>
      </c>
      <c r="N66" s="204">
        <f t="shared" si="41"/>
        <v>14800</v>
      </c>
      <c r="O66" s="204">
        <f t="shared" si="41"/>
        <v>14800</v>
      </c>
      <c r="P66" s="204">
        <f t="shared" si="41"/>
        <v>15540</v>
      </c>
      <c r="Q66" s="204">
        <f t="shared" si="41"/>
        <v>16280</v>
      </c>
      <c r="R66" s="204">
        <f t="shared" si="41"/>
        <v>16280</v>
      </c>
      <c r="S66" s="204">
        <f t="shared" si="41"/>
        <v>13320</v>
      </c>
      <c r="T66" s="204">
        <f t="shared" si="41"/>
        <v>13320</v>
      </c>
      <c r="U66" s="204">
        <f t="shared" si="41"/>
        <v>10360.000000000025</v>
      </c>
      <c r="W66" s="216"/>
      <c r="X66" s="216"/>
    </row>
    <row r="67" spans="1:24">
      <c r="A67" s="203" t="s">
        <v>72</v>
      </c>
      <c r="B67" s="207">
        <f>B64*$O$97*(B63-B56)/365.25</f>
        <v>16700.802190280629</v>
      </c>
      <c r="C67" s="207">
        <f t="shared" ref="C67:U67" si="42">C64*$O$97*(C63-C56)/365.25</f>
        <v>16700.802190280629</v>
      </c>
      <c r="D67" s="207">
        <f t="shared" si="42"/>
        <v>16700.802190280629</v>
      </c>
      <c r="E67" s="207">
        <f t="shared" si="42"/>
        <v>16700.802190280629</v>
      </c>
      <c r="F67" s="207">
        <f t="shared" si="42"/>
        <v>16700.802190280629</v>
      </c>
      <c r="G67" s="207">
        <f t="shared" si="42"/>
        <v>16700.802190280629</v>
      </c>
      <c r="H67" s="207">
        <f t="shared" si="42"/>
        <v>16700.802190280629</v>
      </c>
      <c r="I67" s="207">
        <f t="shared" si="42"/>
        <v>16700.802190280629</v>
      </c>
      <c r="J67" s="207">
        <f t="shared" si="42"/>
        <v>16700.802190280629</v>
      </c>
      <c r="K67" s="207">
        <f t="shared" si="42"/>
        <v>16700.802190280629</v>
      </c>
      <c r="L67" s="207">
        <f t="shared" si="42"/>
        <v>15615.250047912388</v>
      </c>
      <c r="M67" s="207">
        <f t="shared" si="42"/>
        <v>13945.169828884327</v>
      </c>
      <c r="N67" s="207">
        <f t="shared" si="42"/>
        <v>12275.089609856264</v>
      </c>
      <c r="O67" s="207">
        <f t="shared" si="42"/>
        <v>10605.0093908282</v>
      </c>
      <c r="P67" s="207">
        <f t="shared" si="42"/>
        <v>8893.1771663244344</v>
      </c>
      <c r="Q67" s="207">
        <f t="shared" si="42"/>
        <v>7097.8409308692671</v>
      </c>
      <c r="R67" s="207">
        <f t="shared" si="42"/>
        <v>5260.7526899383984</v>
      </c>
      <c r="S67" s="207">
        <f t="shared" si="42"/>
        <v>3590.6724709103355</v>
      </c>
      <c r="T67" s="207">
        <f t="shared" si="42"/>
        <v>2087.6002737850786</v>
      </c>
      <c r="U67" s="207">
        <f t="shared" si="42"/>
        <v>584.52807665982198</v>
      </c>
      <c r="W67" s="216"/>
      <c r="X67" s="216"/>
    </row>
    <row r="68" spans="1:24">
      <c r="A68" s="203" t="s">
        <v>73</v>
      </c>
      <c r="B68" s="208">
        <f>B64-B66</f>
        <v>296000</v>
      </c>
      <c r="C68" s="208">
        <f t="shared" ref="C68:U68" si="43">C64-C66</f>
        <v>296000</v>
      </c>
      <c r="D68" s="208">
        <f t="shared" si="43"/>
        <v>296000</v>
      </c>
      <c r="E68" s="208">
        <f t="shared" si="43"/>
        <v>296000</v>
      </c>
      <c r="F68" s="208">
        <f t="shared" si="43"/>
        <v>296000</v>
      </c>
      <c r="G68" s="208">
        <f t="shared" si="43"/>
        <v>296000</v>
      </c>
      <c r="H68" s="208">
        <f t="shared" si="43"/>
        <v>296000</v>
      </c>
      <c r="I68" s="208">
        <f t="shared" si="43"/>
        <v>296000</v>
      </c>
      <c r="J68" s="208">
        <f t="shared" si="43"/>
        <v>296000</v>
      </c>
      <c r="K68" s="208">
        <f t="shared" si="43"/>
        <v>291560</v>
      </c>
      <c r="L68" s="208">
        <f t="shared" si="43"/>
        <v>261960</v>
      </c>
      <c r="M68" s="208">
        <f t="shared" si="43"/>
        <v>232360</v>
      </c>
      <c r="N68" s="208">
        <f t="shared" si="43"/>
        <v>202760</v>
      </c>
      <c r="O68" s="208">
        <f t="shared" si="43"/>
        <v>173160</v>
      </c>
      <c r="P68" s="208">
        <f t="shared" si="43"/>
        <v>142080</v>
      </c>
      <c r="Q68" s="208">
        <f t="shared" si="43"/>
        <v>109520</v>
      </c>
      <c r="R68" s="208">
        <f t="shared" si="43"/>
        <v>76960</v>
      </c>
      <c r="S68" s="208">
        <f t="shared" si="43"/>
        <v>50320</v>
      </c>
      <c r="T68" s="208">
        <f t="shared" si="43"/>
        <v>23680</v>
      </c>
      <c r="U68" s="208">
        <f t="shared" si="43"/>
        <v>-2.5465851649641991E-11</v>
      </c>
      <c r="W68" s="216"/>
      <c r="X68" s="216"/>
    </row>
    <row r="69" spans="1:24">
      <c r="A69" s="203"/>
      <c r="B69" s="214"/>
      <c r="C69" s="214"/>
      <c r="D69" s="214"/>
      <c r="E69" s="214"/>
      <c r="F69" s="214"/>
      <c r="G69" s="214"/>
      <c r="H69" s="214"/>
      <c r="I69" s="214"/>
      <c r="J69" s="214"/>
      <c r="K69" s="214"/>
      <c r="L69" s="214"/>
      <c r="M69" s="214"/>
      <c r="N69" s="214"/>
      <c r="O69" s="214"/>
      <c r="P69" s="214"/>
      <c r="Q69" s="214"/>
      <c r="R69" s="214"/>
      <c r="S69" s="214"/>
      <c r="T69" s="214"/>
      <c r="U69" s="214"/>
    </row>
    <row r="70" spans="1:24">
      <c r="A70" s="217" t="s">
        <v>188</v>
      </c>
      <c r="B70" s="211"/>
      <c r="C70" s="211"/>
      <c r="D70" s="211"/>
      <c r="E70" s="211"/>
      <c r="F70" s="211"/>
      <c r="G70" s="211"/>
      <c r="H70" s="211"/>
      <c r="I70" s="211"/>
      <c r="J70" s="211"/>
      <c r="K70" s="211"/>
      <c r="L70" s="211"/>
      <c r="M70" s="211"/>
      <c r="N70" s="211"/>
      <c r="O70" s="211"/>
      <c r="P70" s="211"/>
      <c r="Q70" s="211"/>
      <c r="R70" s="211"/>
      <c r="S70" s="211"/>
      <c r="T70" s="211"/>
      <c r="U70" s="211"/>
      <c r="V70" s="218"/>
      <c r="W70" s="218"/>
      <c r="X70" s="218"/>
    </row>
    <row r="71" spans="1:24">
      <c r="A71" s="217"/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  <c r="N71" s="211"/>
      <c r="O71" s="211"/>
      <c r="P71" s="211"/>
      <c r="Q71" s="211"/>
      <c r="R71" s="211"/>
      <c r="S71" s="211"/>
      <c r="T71" s="211"/>
      <c r="U71" s="211"/>
      <c r="V71" s="218"/>
      <c r="W71" s="218"/>
      <c r="X71" s="218"/>
    </row>
    <row r="72" spans="1:24">
      <c r="A72" s="203" t="s">
        <v>70</v>
      </c>
      <c r="B72" s="214">
        <f>B54+B34+B14</f>
        <v>351000</v>
      </c>
      <c r="C72" s="214">
        <f>C52+C32+C12</f>
        <v>351000</v>
      </c>
      <c r="D72" s="214">
        <f t="shared" ref="D72:U72" si="44">D52+D32+D12</f>
        <v>351000</v>
      </c>
      <c r="E72" s="214">
        <f t="shared" si="44"/>
        <v>351000</v>
      </c>
      <c r="F72" s="214">
        <f t="shared" si="44"/>
        <v>346325</v>
      </c>
      <c r="G72" s="214">
        <f t="shared" si="44"/>
        <v>339890</v>
      </c>
      <c r="H72" s="214">
        <f t="shared" si="44"/>
        <v>332575</v>
      </c>
      <c r="I72" s="214">
        <f t="shared" si="44"/>
        <v>324600</v>
      </c>
      <c r="J72" s="214">
        <f t="shared" si="44"/>
        <v>315525</v>
      </c>
      <c r="K72" s="214">
        <f t="shared" si="44"/>
        <v>305570</v>
      </c>
      <c r="L72" s="214">
        <f t="shared" si="44"/>
        <v>291560</v>
      </c>
      <c r="M72" s="214">
        <f t="shared" si="44"/>
        <v>261960</v>
      </c>
      <c r="N72" s="214">
        <f t="shared" si="44"/>
        <v>232360</v>
      </c>
      <c r="O72" s="214">
        <f t="shared" si="44"/>
        <v>202760</v>
      </c>
      <c r="P72" s="214">
        <f t="shared" si="44"/>
        <v>173160</v>
      </c>
      <c r="Q72" s="214">
        <f t="shared" si="44"/>
        <v>142080</v>
      </c>
      <c r="R72" s="214">
        <f t="shared" si="44"/>
        <v>109520</v>
      </c>
      <c r="S72" s="214">
        <f t="shared" si="44"/>
        <v>76960</v>
      </c>
      <c r="T72" s="214">
        <f t="shared" si="44"/>
        <v>50320</v>
      </c>
      <c r="U72" s="214">
        <f t="shared" si="44"/>
        <v>23680.000000000004</v>
      </c>
      <c r="V72" s="218"/>
      <c r="W72" s="218"/>
      <c r="X72" s="218"/>
    </row>
    <row r="73" spans="1:24">
      <c r="A73" s="203" t="s">
        <v>73</v>
      </c>
      <c r="B73" s="214">
        <f t="shared" ref="B73:U73" si="45">B68+B48+B28</f>
        <v>351000</v>
      </c>
      <c r="C73" s="214">
        <f t="shared" si="45"/>
        <v>351000</v>
      </c>
      <c r="D73" s="214">
        <f t="shared" si="45"/>
        <v>351000</v>
      </c>
      <c r="E73" s="214">
        <f t="shared" si="45"/>
        <v>346325</v>
      </c>
      <c r="F73" s="214">
        <f t="shared" si="45"/>
        <v>339890</v>
      </c>
      <c r="G73" s="214">
        <f t="shared" si="45"/>
        <v>332575</v>
      </c>
      <c r="H73" s="214">
        <f t="shared" si="45"/>
        <v>324600</v>
      </c>
      <c r="I73" s="214">
        <f t="shared" si="45"/>
        <v>315525</v>
      </c>
      <c r="J73" s="214">
        <f t="shared" si="45"/>
        <v>305570</v>
      </c>
      <c r="K73" s="214">
        <f t="shared" si="45"/>
        <v>291560</v>
      </c>
      <c r="L73" s="214">
        <f t="shared" si="45"/>
        <v>261960</v>
      </c>
      <c r="M73" s="214">
        <f t="shared" si="45"/>
        <v>232360</v>
      </c>
      <c r="N73" s="214">
        <f t="shared" si="45"/>
        <v>202760</v>
      </c>
      <c r="O73" s="214">
        <f t="shared" si="45"/>
        <v>173160</v>
      </c>
      <c r="P73" s="214">
        <f t="shared" si="45"/>
        <v>142080</v>
      </c>
      <c r="Q73" s="214">
        <f t="shared" si="45"/>
        <v>109520</v>
      </c>
      <c r="R73" s="214">
        <f t="shared" si="45"/>
        <v>76960</v>
      </c>
      <c r="S73" s="214">
        <f t="shared" si="45"/>
        <v>50320</v>
      </c>
      <c r="T73" s="214">
        <f t="shared" si="45"/>
        <v>23680.000000000004</v>
      </c>
      <c r="U73" s="214">
        <f t="shared" si="45"/>
        <v>-2.1827872842550278E-11</v>
      </c>
      <c r="V73" s="218"/>
      <c r="W73" s="218"/>
      <c r="X73" s="218"/>
    </row>
    <row r="74" spans="1:24">
      <c r="A74" s="203"/>
      <c r="B74" s="211"/>
      <c r="C74" s="211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  <c r="S74" s="211"/>
      <c r="T74" s="211"/>
      <c r="U74" s="211"/>
      <c r="V74" s="218"/>
      <c r="W74" s="218"/>
      <c r="X74" s="218"/>
    </row>
    <row r="75" spans="1:24">
      <c r="A75" s="203" t="s">
        <v>109</v>
      </c>
      <c r="B75" s="214">
        <f t="shared" ref="B75:U75" si="46">SUM(B66,B59,B46,B39,B26,B19)</f>
        <v>0</v>
      </c>
      <c r="C75" s="214">
        <f t="shared" si="46"/>
        <v>0</v>
      </c>
      <c r="D75" s="214">
        <f t="shared" si="46"/>
        <v>0</v>
      </c>
      <c r="E75" s="214">
        <f t="shared" si="46"/>
        <v>4675</v>
      </c>
      <c r="F75" s="214">
        <f t="shared" si="46"/>
        <v>6435</v>
      </c>
      <c r="G75" s="214">
        <f t="shared" si="46"/>
        <v>7315</v>
      </c>
      <c r="H75" s="214">
        <f t="shared" si="46"/>
        <v>7974.9999999999991</v>
      </c>
      <c r="I75" s="214">
        <f t="shared" si="46"/>
        <v>9075</v>
      </c>
      <c r="J75" s="214">
        <f t="shared" si="46"/>
        <v>9955</v>
      </c>
      <c r="K75" s="214">
        <f t="shared" si="46"/>
        <v>14009.999999999996</v>
      </c>
      <c r="L75" s="214">
        <f t="shared" si="46"/>
        <v>29600</v>
      </c>
      <c r="M75" s="214">
        <f t="shared" si="46"/>
        <v>29600</v>
      </c>
      <c r="N75" s="214">
        <f t="shared" si="46"/>
        <v>29600</v>
      </c>
      <c r="O75" s="214">
        <f t="shared" si="46"/>
        <v>29600</v>
      </c>
      <c r="P75" s="214">
        <f t="shared" si="46"/>
        <v>31080</v>
      </c>
      <c r="Q75" s="214">
        <f t="shared" si="46"/>
        <v>32560</v>
      </c>
      <c r="R75" s="214">
        <f t="shared" si="46"/>
        <v>32560</v>
      </c>
      <c r="S75" s="214">
        <f t="shared" si="46"/>
        <v>26640</v>
      </c>
      <c r="T75" s="214">
        <f t="shared" si="46"/>
        <v>26640</v>
      </c>
      <c r="U75" s="214">
        <f t="shared" si="46"/>
        <v>23680.000000000025</v>
      </c>
      <c r="V75" s="218"/>
      <c r="W75" s="218"/>
      <c r="X75" s="218"/>
    </row>
    <row r="76" spans="1:24">
      <c r="A76" s="219" t="s">
        <v>59</v>
      </c>
      <c r="B76" s="220">
        <f t="shared" ref="B76:U76" si="47">SUM(B13,B20,B33,B40,B53,B60,B67,B47,B27)</f>
        <v>39067.838466803558</v>
      </c>
      <c r="C76" s="220">
        <f t="shared" si="47"/>
        <v>39175.167693360709</v>
      </c>
      <c r="D76" s="220">
        <f t="shared" si="47"/>
        <v>39175.167693360709</v>
      </c>
      <c r="E76" s="220">
        <f t="shared" si="47"/>
        <v>39152.966461327858</v>
      </c>
      <c r="F76" s="220">
        <f t="shared" si="47"/>
        <v>38482.974811772758</v>
      </c>
      <c r="G76" s="220">
        <f t="shared" si="47"/>
        <v>37751.227104722791</v>
      </c>
      <c r="H76" s="220">
        <f t="shared" si="47"/>
        <v>36928.841204654338</v>
      </c>
      <c r="I76" s="220">
        <f t="shared" si="47"/>
        <v>36121.092402464063</v>
      </c>
      <c r="J76" s="220">
        <f t="shared" si="47"/>
        <v>34999.764955509927</v>
      </c>
      <c r="K76" s="220">
        <f t="shared" si="47"/>
        <v>33815.555099247089</v>
      </c>
      <c r="L76" s="220">
        <f t="shared" si="47"/>
        <v>31797.328952772077</v>
      </c>
      <c r="M76" s="220">
        <f t="shared" si="47"/>
        <v>28564.725311430528</v>
      </c>
      <c r="N76" s="220">
        <f t="shared" si="47"/>
        <v>25171.467214236822</v>
      </c>
      <c r="O76" s="220">
        <f t="shared" si="47"/>
        <v>21858.536344969198</v>
      </c>
      <c r="P76" s="220">
        <f t="shared" si="47"/>
        <v>18503.853470225873</v>
      </c>
      <c r="Q76" s="220">
        <f t="shared" si="47"/>
        <v>15027.091362080768</v>
      </c>
      <c r="R76" s="220">
        <f t="shared" si="47"/>
        <v>11339.300095824778</v>
      </c>
      <c r="S76" s="220">
        <f t="shared" si="47"/>
        <v>7862.0841615331965</v>
      </c>
      <c r="T76" s="220">
        <f t="shared" si="47"/>
        <v>4880.4463791923336</v>
      </c>
      <c r="U76" s="220">
        <f t="shared" si="47"/>
        <v>1906.0698151950721</v>
      </c>
      <c r="V76" s="218"/>
      <c r="W76" s="218"/>
      <c r="X76" s="218"/>
    </row>
    <row r="77" spans="1:24">
      <c r="A77" s="218" t="s">
        <v>74</v>
      </c>
      <c r="B77" s="218">
        <f t="shared" ref="B77:U77" si="48">SUM(B75:B76)</f>
        <v>39067.838466803558</v>
      </c>
      <c r="C77" s="218">
        <f t="shared" si="48"/>
        <v>39175.167693360709</v>
      </c>
      <c r="D77" s="218">
        <f t="shared" si="48"/>
        <v>39175.167693360709</v>
      </c>
      <c r="E77" s="218">
        <f t="shared" si="48"/>
        <v>43827.966461327858</v>
      </c>
      <c r="F77" s="218">
        <f t="shared" si="48"/>
        <v>44917.974811772758</v>
      </c>
      <c r="G77" s="218">
        <f t="shared" si="48"/>
        <v>45066.227104722791</v>
      </c>
      <c r="H77" s="218">
        <f t="shared" si="48"/>
        <v>44903.841204654338</v>
      </c>
      <c r="I77" s="218">
        <f t="shared" si="48"/>
        <v>45196.092402464063</v>
      </c>
      <c r="J77" s="218">
        <f t="shared" si="48"/>
        <v>44954.764955509927</v>
      </c>
      <c r="K77" s="218">
        <f t="shared" si="48"/>
        <v>47825.555099247082</v>
      </c>
      <c r="L77" s="218">
        <f t="shared" si="48"/>
        <v>61397.328952772077</v>
      </c>
      <c r="M77" s="218">
        <f t="shared" si="48"/>
        <v>58164.725311430528</v>
      </c>
      <c r="N77" s="218">
        <f t="shared" si="48"/>
        <v>54771.467214236822</v>
      </c>
      <c r="O77" s="218">
        <f t="shared" si="48"/>
        <v>51458.536344969194</v>
      </c>
      <c r="P77" s="218">
        <f t="shared" si="48"/>
        <v>49583.853470225877</v>
      </c>
      <c r="Q77" s="218">
        <f t="shared" si="48"/>
        <v>47587.09136208077</v>
      </c>
      <c r="R77" s="218">
        <f t="shared" si="48"/>
        <v>43899.300095824779</v>
      </c>
      <c r="S77" s="218">
        <f t="shared" si="48"/>
        <v>34502.084161533196</v>
      </c>
      <c r="T77" s="218">
        <f t="shared" si="48"/>
        <v>31520.446379192334</v>
      </c>
      <c r="U77" s="218">
        <f t="shared" si="48"/>
        <v>25586.069815195096</v>
      </c>
      <c r="V77" s="218"/>
      <c r="W77" s="218"/>
      <c r="X77" s="218"/>
    </row>
    <row r="78" spans="1:24" ht="13.5" thickBot="1">
      <c r="A78" s="218"/>
      <c r="B78" s="218"/>
      <c r="C78" s="218"/>
      <c r="D78" s="218"/>
      <c r="E78" s="218"/>
      <c r="F78" s="218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</row>
    <row r="79" spans="1:24" ht="13.5" thickBot="1">
      <c r="A79" s="221" t="s">
        <v>110</v>
      </c>
      <c r="B79" s="222">
        <f>IF(B77&gt;0.1,B8/B77," ")</f>
        <v>2.6248425376388922</v>
      </c>
      <c r="C79" s="222">
        <f>IF(C77&gt;0.1,C8/C77," ")</f>
        <v>2.7478843007405009</v>
      </c>
      <c r="D79" s="222">
        <f>IF(D77&gt;0.1,D8/D77," ")</f>
        <v>2.8851322579116401</v>
      </c>
      <c r="E79" s="222">
        <f>IF(E77&gt;0.1,E8/E77," ")</f>
        <v>2.710380402964617</v>
      </c>
      <c r="F79" s="222">
        <f t="shared" ref="F79:U79" si="49">IF(F77&gt;0.1,F8/F77," ")</f>
        <v>2.7801481620443025</v>
      </c>
      <c r="G79" s="222">
        <f t="shared" si="49"/>
        <v>2.8150241993386773</v>
      </c>
      <c r="H79" s="222">
        <f t="shared" si="49"/>
        <v>2.8713550714807243</v>
      </c>
      <c r="I79" s="222">
        <f t="shared" si="49"/>
        <v>2.9008496252100944</v>
      </c>
      <c r="J79" s="222">
        <f t="shared" si="49"/>
        <v>2.9678755982459095</v>
      </c>
      <c r="K79" s="222">
        <f t="shared" si="49"/>
        <v>2.8405844648734555</v>
      </c>
      <c r="L79" s="222">
        <f t="shared" si="49"/>
        <v>2.2477837924144217</v>
      </c>
      <c r="M79" s="222">
        <f t="shared" si="49"/>
        <v>2.4131169099028247</v>
      </c>
      <c r="N79" s="222">
        <f t="shared" si="49"/>
        <v>2.5997816644328275</v>
      </c>
      <c r="O79" s="222">
        <f t="shared" si="49"/>
        <v>2.814340700671035</v>
      </c>
      <c r="P79" s="222">
        <f t="shared" si="49"/>
        <v>2.9616095235496429</v>
      </c>
      <c r="Q79" s="222">
        <f t="shared" si="49"/>
        <v>3.1424584426649949</v>
      </c>
      <c r="R79" s="222">
        <f t="shared" si="49"/>
        <v>3.4550292097891027</v>
      </c>
      <c r="S79" s="222">
        <f t="shared" si="49"/>
        <v>4.4586682681167025</v>
      </c>
      <c r="T79" s="222">
        <f t="shared" si="49"/>
        <v>4.9498244902610677</v>
      </c>
      <c r="U79" s="223">
        <f t="shared" si="49"/>
        <v>6.1844442420521668</v>
      </c>
      <c r="V79" s="198"/>
      <c r="W79" s="198"/>
      <c r="X79" s="198"/>
    </row>
    <row r="80" spans="1:24">
      <c r="A80" s="224"/>
      <c r="B80" s="225"/>
      <c r="C80" s="226"/>
      <c r="D80" s="226"/>
      <c r="E80" s="226"/>
      <c r="F80" s="226"/>
      <c r="G80" s="226"/>
      <c r="H80" s="226"/>
      <c r="I80" s="226"/>
      <c r="J80" s="226"/>
      <c r="K80" s="226"/>
      <c r="L80" s="226"/>
      <c r="M80" s="226"/>
      <c r="N80" s="226"/>
      <c r="O80" s="226"/>
      <c r="P80" s="226"/>
      <c r="Q80" s="226"/>
      <c r="R80" s="226"/>
      <c r="S80" s="226"/>
      <c r="T80" s="226"/>
      <c r="U80" s="226"/>
      <c r="V80" s="198"/>
      <c r="W80" s="198"/>
      <c r="X80" s="198"/>
    </row>
    <row r="81" spans="1:24">
      <c r="A81" s="224"/>
      <c r="B81" s="227"/>
      <c r="C81" s="227"/>
      <c r="D81" s="227"/>
      <c r="E81"/>
      <c r="F81"/>
      <c r="G81"/>
      <c r="H81"/>
      <c r="I81" s="227"/>
      <c r="J81" s="227"/>
      <c r="K81" s="227"/>
      <c r="L81" s="227"/>
      <c r="M81" s="227"/>
      <c r="N81" s="227"/>
      <c r="O81" s="227"/>
      <c r="P81" s="227"/>
      <c r="Q81" s="227"/>
      <c r="R81" s="227"/>
      <c r="S81" s="227"/>
      <c r="T81" s="227"/>
      <c r="U81" s="227"/>
      <c r="V81" s="198"/>
      <c r="W81" s="198"/>
      <c r="X81" s="198"/>
    </row>
    <row r="82" spans="1:24">
      <c r="A82" s="224"/>
      <c r="B82" s="414" t="s">
        <v>0</v>
      </c>
      <c r="C82" s="415"/>
      <c r="D82" s="416"/>
      <c r="E82"/>
      <c r="F82"/>
      <c r="G82"/>
      <c r="H82"/>
      <c r="I82" s="227"/>
      <c r="J82" s="227"/>
      <c r="K82" s="227"/>
      <c r="L82" s="227"/>
      <c r="M82" s="227"/>
      <c r="N82" s="227"/>
      <c r="O82" s="227"/>
      <c r="P82" s="227"/>
      <c r="Q82" s="227"/>
      <c r="R82" s="227"/>
      <c r="S82" s="227"/>
      <c r="T82" s="227"/>
      <c r="U82" s="227"/>
      <c r="V82" s="198"/>
      <c r="W82" s="198"/>
      <c r="X82" s="198"/>
    </row>
    <row r="83" spans="1:24">
      <c r="A83" s="224"/>
      <c r="B83" s="228" t="s">
        <v>213</v>
      </c>
      <c r="C83" s="229"/>
      <c r="D83" s="230"/>
      <c r="E83"/>
      <c r="F83"/>
      <c r="G83"/>
      <c r="H83"/>
      <c r="I83" s="227"/>
      <c r="J83" s="227"/>
      <c r="K83" s="227"/>
      <c r="L83" s="227"/>
      <c r="M83" s="227"/>
      <c r="N83" s="227"/>
      <c r="O83" s="227"/>
      <c r="P83" s="227"/>
      <c r="Q83" s="227"/>
      <c r="R83" s="227"/>
      <c r="S83" s="227"/>
      <c r="T83" s="227"/>
      <c r="U83" s="227"/>
      <c r="V83" s="198"/>
      <c r="W83" s="198"/>
      <c r="X83" s="198"/>
    </row>
    <row r="84" spans="1:24">
      <c r="A84" s="224"/>
      <c r="B84" s="231" t="s">
        <v>115</v>
      </c>
      <c r="C84" s="14"/>
      <c r="D84" s="232">
        <f>MIN(B79:U79)</f>
        <v>2.2477837924144217</v>
      </c>
      <c r="E84"/>
      <c r="F84"/>
      <c r="G84"/>
      <c r="H84"/>
      <c r="I84" s="227"/>
      <c r="J84" s="227"/>
      <c r="K84" s="227"/>
      <c r="L84" s="227"/>
      <c r="M84" s="227"/>
      <c r="N84" s="227"/>
      <c r="O84" s="227"/>
      <c r="P84" s="227"/>
      <c r="Q84" s="227"/>
      <c r="R84" s="227"/>
      <c r="S84" s="227"/>
      <c r="T84" s="227"/>
      <c r="U84" s="227"/>
      <c r="V84" s="198"/>
      <c r="W84" s="198"/>
      <c r="X84" s="198"/>
    </row>
    <row r="85" spans="1:24">
      <c r="A85" s="224"/>
      <c r="B85" s="233" t="s">
        <v>114</v>
      </c>
      <c r="C85" s="234"/>
      <c r="D85" s="235">
        <f>AVERAGE(B79:U79)</f>
        <v>3.1685566932151792</v>
      </c>
      <c r="E85"/>
      <c r="F85"/>
      <c r="G85"/>
      <c r="H85"/>
      <c r="I85" s="227"/>
      <c r="J85" s="227"/>
      <c r="K85" s="227"/>
      <c r="L85" s="227"/>
      <c r="M85" s="227"/>
      <c r="N85" s="227"/>
      <c r="O85" s="227"/>
      <c r="P85" s="227"/>
      <c r="Q85" s="227"/>
      <c r="R85" s="227"/>
      <c r="S85" s="227"/>
      <c r="T85" s="227"/>
      <c r="U85" s="227"/>
      <c r="V85" s="198"/>
      <c r="W85" s="198"/>
      <c r="X85" s="198"/>
    </row>
    <row r="86" spans="1:24">
      <c r="A86" s="224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27"/>
      <c r="R86" s="227"/>
      <c r="S86" s="227"/>
      <c r="T86" s="227"/>
      <c r="U86" s="227"/>
      <c r="V86" s="198"/>
      <c r="W86" s="198"/>
      <c r="X86" s="198"/>
    </row>
    <row r="87" spans="1:24">
      <c r="A87" s="224"/>
      <c r="F87" s="227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27"/>
      <c r="R87" s="227"/>
      <c r="S87" s="227"/>
      <c r="T87" s="227"/>
      <c r="U87" s="227"/>
      <c r="V87" s="198"/>
      <c r="W87" s="198"/>
      <c r="X87" s="198"/>
    </row>
    <row r="88" spans="1:24">
      <c r="A88" s="224"/>
      <c r="F88" s="227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27"/>
      <c r="R88" s="227"/>
      <c r="S88" s="227"/>
      <c r="T88" s="227"/>
      <c r="U88" s="227"/>
      <c r="V88" s="198"/>
      <c r="W88" s="198"/>
      <c r="X88" s="198"/>
    </row>
    <row r="89" spans="1:24">
      <c r="A89" s="224"/>
      <c r="B89" s="189"/>
      <c r="C89" s="9"/>
      <c r="D89" s="9"/>
      <c r="E89" s="18"/>
      <c r="F89" s="227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27"/>
      <c r="R89" s="227"/>
      <c r="S89" s="227"/>
      <c r="T89" s="227"/>
      <c r="U89" s="227"/>
      <c r="V89" s="198"/>
      <c r="W89" s="198"/>
      <c r="X89" s="198"/>
    </row>
    <row r="90" spans="1:24">
      <c r="A90" s="224"/>
      <c r="B90" s="189"/>
      <c r="C90" s="9"/>
      <c r="D90" s="9"/>
      <c r="E90" s="18"/>
      <c r="F90" s="227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27"/>
      <c r="R90" s="227"/>
      <c r="S90" s="227"/>
      <c r="T90" s="227"/>
      <c r="U90" s="227"/>
      <c r="V90" s="198"/>
      <c r="W90" s="198"/>
      <c r="X90" s="198"/>
    </row>
    <row r="91" spans="1:24">
      <c r="A91" s="224" t="s">
        <v>130</v>
      </c>
      <c r="B91" s="236">
        <f t="shared" ref="B91:U91" si="50">SUM(B13,B20,B27,B33,B40,B47,B53,B60,B67)</f>
        <v>39067.838466803558</v>
      </c>
      <c r="C91" s="236">
        <f t="shared" si="50"/>
        <v>39175.167693360709</v>
      </c>
      <c r="D91" s="236">
        <f t="shared" si="50"/>
        <v>39175.167693360709</v>
      </c>
      <c r="E91" s="236">
        <f t="shared" si="50"/>
        <v>39152.966461327858</v>
      </c>
      <c r="F91" s="236">
        <f t="shared" si="50"/>
        <v>38482.974811772758</v>
      </c>
      <c r="G91" s="236">
        <f t="shared" si="50"/>
        <v>37751.227104722791</v>
      </c>
      <c r="H91" s="236">
        <f t="shared" si="50"/>
        <v>36928.841204654345</v>
      </c>
      <c r="I91" s="236">
        <f t="shared" si="50"/>
        <v>36121.092402464063</v>
      </c>
      <c r="J91" s="236">
        <f t="shared" si="50"/>
        <v>34999.76495550992</v>
      </c>
      <c r="K91" s="236">
        <f t="shared" si="50"/>
        <v>33815.555099247089</v>
      </c>
      <c r="L91" s="236">
        <f t="shared" si="50"/>
        <v>31797.328952772077</v>
      </c>
      <c r="M91" s="236">
        <f t="shared" si="50"/>
        <v>28564.725311430528</v>
      </c>
      <c r="N91" s="236">
        <f t="shared" si="50"/>
        <v>25171.467214236825</v>
      </c>
      <c r="O91" s="236">
        <f t="shared" si="50"/>
        <v>21858.536344969198</v>
      </c>
      <c r="P91" s="236">
        <f t="shared" si="50"/>
        <v>18503.853470225873</v>
      </c>
      <c r="Q91" s="236">
        <f t="shared" si="50"/>
        <v>15027.091362080768</v>
      </c>
      <c r="R91" s="236">
        <f t="shared" si="50"/>
        <v>11339.300095824779</v>
      </c>
      <c r="S91" s="236">
        <f t="shared" si="50"/>
        <v>7862.0841615331965</v>
      </c>
      <c r="T91" s="236">
        <f t="shared" si="50"/>
        <v>4880.4463791923345</v>
      </c>
      <c r="U91" s="236">
        <f t="shared" si="50"/>
        <v>1906.0698151950719</v>
      </c>
      <c r="V91" s="198"/>
      <c r="W91" s="198"/>
      <c r="X91" s="198"/>
    </row>
    <row r="92" spans="1:24">
      <c r="A92" s="224"/>
      <c r="B92" s="189"/>
      <c r="C92" s="9"/>
      <c r="D92" s="9"/>
      <c r="E92" s="18"/>
      <c r="F92" s="227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27"/>
      <c r="R92" s="227"/>
      <c r="S92" s="227"/>
      <c r="T92" s="227"/>
      <c r="U92" s="227"/>
      <c r="V92" s="198"/>
      <c r="W92" s="198"/>
      <c r="X92" s="198"/>
    </row>
    <row r="93" spans="1:24">
      <c r="A93" s="224"/>
      <c r="B93" s="189"/>
      <c r="C93" s="9"/>
      <c r="D93" s="9"/>
      <c r="E93" s="18"/>
      <c r="F93" s="227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27"/>
      <c r="R93" s="227"/>
      <c r="S93" s="227"/>
      <c r="T93" s="227"/>
      <c r="U93" s="227"/>
      <c r="V93" s="198"/>
      <c r="W93" s="198"/>
      <c r="X93" s="198"/>
    </row>
    <row r="94" spans="1:24">
      <c r="B94" s="418" t="s">
        <v>13</v>
      </c>
      <c r="C94" s="419"/>
      <c r="D94" s="419"/>
      <c r="E94" s="420"/>
      <c r="F94" s="198"/>
      <c r="G94" s="418" t="s">
        <v>14</v>
      </c>
      <c r="H94" s="419"/>
      <c r="I94" s="419"/>
      <c r="J94" s="420"/>
      <c r="K94" s="198"/>
      <c r="L94" s="418" t="s">
        <v>15</v>
      </c>
      <c r="M94" s="419"/>
      <c r="N94" s="419"/>
      <c r="O94" s="420"/>
      <c r="P94" s="178"/>
      <c r="Q94" s="178"/>
      <c r="R94" s="178"/>
      <c r="S94" s="198"/>
      <c r="T94" s="198"/>
      <c r="U94" s="198"/>
      <c r="V94" s="198"/>
      <c r="W94" s="198"/>
      <c r="X94" s="198"/>
    </row>
    <row r="95" spans="1:24">
      <c r="B95" s="237" t="s">
        <v>111</v>
      </c>
      <c r="C95" s="238"/>
      <c r="D95" s="238"/>
      <c r="E95" s="239">
        <f>'Summary Output'!B20</f>
        <v>6.8000000000000005E-2</v>
      </c>
      <c r="F95" s="224"/>
      <c r="G95" s="237" t="s">
        <v>111</v>
      </c>
      <c r="H95" s="238"/>
      <c r="I95" s="238"/>
      <c r="J95" s="239">
        <f>'Summary Output'!C20</f>
        <v>6.5000000000000002E-2</v>
      </c>
      <c r="K95" s="224"/>
      <c r="L95" s="237" t="s">
        <v>111</v>
      </c>
      <c r="M95" s="238"/>
      <c r="N95" s="238"/>
      <c r="O95" s="239">
        <f>'Summary Output'!D20</f>
        <v>6.2E-2</v>
      </c>
      <c r="P95" s="178"/>
      <c r="Q95" s="178"/>
      <c r="R95" s="178"/>
      <c r="S95" s="198"/>
      <c r="T95" s="198"/>
      <c r="U95" s="198"/>
      <c r="V95" s="198"/>
      <c r="W95" s="198"/>
      <c r="X95" s="198"/>
    </row>
    <row r="96" spans="1:24">
      <c r="B96" s="240" t="s">
        <v>21</v>
      </c>
      <c r="C96" s="9"/>
      <c r="D96" s="9"/>
      <c r="E96" s="241">
        <f>'Summary Output'!B21</f>
        <v>2.2499999999999999E-2</v>
      </c>
      <c r="G96" s="240" t="s">
        <v>21</v>
      </c>
      <c r="H96" s="9"/>
      <c r="I96" s="9"/>
      <c r="J96" s="241">
        <f>'Summary Output'!C21</f>
        <v>4.4999999999999998E-2</v>
      </c>
      <c r="L96" s="240" t="s">
        <v>21</v>
      </c>
      <c r="M96" s="9"/>
      <c r="N96" s="9"/>
      <c r="O96" s="241">
        <f>'Summary Output'!D21</f>
        <v>0.05</v>
      </c>
    </row>
    <row r="97" spans="1:24">
      <c r="A97" s="203"/>
      <c r="B97" s="242" t="s">
        <v>22</v>
      </c>
      <c r="C97" s="107"/>
      <c r="D97" s="107"/>
      <c r="E97" s="243">
        <f>E96+E95</f>
        <v>9.0499999999999997E-2</v>
      </c>
      <c r="G97" s="242" t="s">
        <v>22</v>
      </c>
      <c r="H97" s="107"/>
      <c r="I97" s="107"/>
      <c r="J97" s="243">
        <f>J96+J95</f>
        <v>0.11</v>
      </c>
      <c r="L97" s="242" t="s">
        <v>22</v>
      </c>
      <c r="M97" s="107"/>
      <c r="N97" s="107"/>
      <c r="O97" s="243">
        <f>O96+O95</f>
        <v>0.112</v>
      </c>
    </row>
    <row r="98" spans="1:24">
      <c r="B98" s="244" t="s">
        <v>112</v>
      </c>
      <c r="C98" s="238"/>
      <c r="D98" s="238"/>
      <c r="E98" s="245">
        <f>('Summary Output'!B17-'Summary Output'!$B$14)/365.25</f>
        <v>2.9952087611225187</v>
      </c>
      <c r="G98" s="244" t="s">
        <v>112</v>
      </c>
      <c r="H98" s="238"/>
      <c r="I98" s="238"/>
      <c r="J98" s="245">
        <f>('Summary Output'!C17-'Summary Output'!$B$14)/365.25</f>
        <v>9.9958932238193015</v>
      </c>
      <c r="L98" s="244" t="s">
        <v>112</v>
      </c>
      <c r="M98" s="238"/>
      <c r="N98" s="238"/>
      <c r="O98" s="245">
        <f>('Summary Output'!D17-'Summary Output'!$B$14)/365.25</f>
        <v>19.997262149212869</v>
      </c>
    </row>
    <row r="99" spans="1:24">
      <c r="B99" s="246" t="s">
        <v>113</v>
      </c>
      <c r="C99" s="9"/>
      <c r="D99" s="9"/>
      <c r="E99" s="247" t="e">
        <f>B109</f>
        <v>#DIV/0!</v>
      </c>
      <c r="G99" s="246" t="s">
        <v>113</v>
      </c>
      <c r="H99" s="9"/>
      <c r="I99" s="9"/>
      <c r="J99" s="247">
        <f>B110</f>
        <v>7.1548336755646815</v>
      </c>
      <c r="L99" s="246" t="s">
        <v>113</v>
      </c>
      <c r="M99" s="9"/>
      <c r="N99" s="9"/>
      <c r="O99" s="247">
        <f>B111</f>
        <v>15.030609171800139</v>
      </c>
    </row>
    <row r="100" spans="1:24">
      <c r="B100" s="242" t="s">
        <v>69</v>
      </c>
      <c r="C100" s="107"/>
      <c r="D100" s="107"/>
      <c r="E100" s="248">
        <f>B14</f>
        <v>0</v>
      </c>
      <c r="G100" s="242" t="s">
        <v>69</v>
      </c>
      <c r="H100" s="107"/>
      <c r="I100" s="107"/>
      <c r="J100" s="248">
        <f>B34</f>
        <v>55000</v>
      </c>
      <c r="L100" s="242" t="s">
        <v>69</v>
      </c>
      <c r="M100" s="107"/>
      <c r="N100" s="107"/>
      <c r="O100" s="248">
        <f>B54</f>
        <v>296000</v>
      </c>
    </row>
    <row r="101" spans="1:24">
      <c r="B101" s="203"/>
    </row>
    <row r="102" spans="1:24">
      <c r="B102" s="203"/>
    </row>
    <row r="103" spans="1:24" ht="13.5" thickBo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</row>
    <row r="105" spans="1:24">
      <c r="A105" s="26" t="s">
        <v>116</v>
      </c>
      <c r="B105" s="249">
        <f>(B16-$B$11)/365.25</f>
        <v>0.49281314168377821</v>
      </c>
      <c r="C105" s="249">
        <f t="shared" ref="C105:U105" si="51">(C16-$B$11)/365.25</f>
        <v>1.4921286789869952</v>
      </c>
      <c r="D105" s="249">
        <f t="shared" si="51"/>
        <v>2.4914442162902124</v>
      </c>
      <c r="E105" s="249">
        <f t="shared" si="51"/>
        <v>3.4934976043805612</v>
      </c>
      <c r="F105" s="249">
        <f t="shared" si="51"/>
        <v>4.4928131416837784</v>
      </c>
      <c r="G105" s="249">
        <f t="shared" si="51"/>
        <v>5.4921286789869956</v>
      </c>
      <c r="H105" s="249">
        <f t="shared" si="51"/>
        <v>6.491444216290212</v>
      </c>
      <c r="I105" s="249">
        <f t="shared" si="51"/>
        <v>7.4934976043805612</v>
      </c>
      <c r="J105" s="249">
        <f t="shared" si="51"/>
        <v>8.4928131416837775</v>
      </c>
      <c r="K105" s="249">
        <f t="shared" si="51"/>
        <v>9.4921286789869956</v>
      </c>
      <c r="L105" s="249">
        <f t="shared" si="51"/>
        <v>10.491444216290212</v>
      </c>
      <c r="M105" s="249">
        <f t="shared" si="51"/>
        <v>11.493497604380561</v>
      </c>
      <c r="N105" s="249">
        <f t="shared" si="51"/>
        <v>12.492813141683778</v>
      </c>
      <c r="O105" s="249">
        <f t="shared" si="51"/>
        <v>13.492128678986996</v>
      </c>
      <c r="P105" s="249">
        <f t="shared" si="51"/>
        <v>14.491444216290212</v>
      </c>
      <c r="Q105" s="249">
        <f t="shared" si="51"/>
        <v>15.493497604380561</v>
      </c>
      <c r="R105" s="249">
        <f t="shared" si="51"/>
        <v>16.492813141683779</v>
      </c>
      <c r="S105" s="249">
        <f t="shared" si="51"/>
        <v>17.492128678986994</v>
      </c>
      <c r="T105" s="249">
        <f t="shared" si="51"/>
        <v>18.491444216290212</v>
      </c>
      <c r="U105" s="249">
        <f t="shared" si="51"/>
        <v>19.493497604380561</v>
      </c>
      <c r="V105" s="250"/>
      <c r="W105" s="250"/>
      <c r="X105" s="250"/>
    </row>
    <row r="106" spans="1:24">
      <c r="B106" s="249">
        <f>(B23-$B$11)/365.25</f>
        <v>0.99657768651608492</v>
      </c>
      <c r="C106" s="249">
        <f t="shared" ref="C106:U106" si="52">(C23-$B$11)/365.25</f>
        <v>1.9958932238193019</v>
      </c>
      <c r="D106" s="249">
        <f t="shared" si="52"/>
        <v>2.9952087611225187</v>
      </c>
      <c r="E106" s="249">
        <f t="shared" si="52"/>
        <v>3.9972621492128679</v>
      </c>
      <c r="F106" s="249">
        <f t="shared" si="52"/>
        <v>4.9965776865160851</v>
      </c>
      <c r="G106" s="249">
        <f t="shared" si="52"/>
        <v>5.9958932238193015</v>
      </c>
      <c r="H106" s="249">
        <f t="shared" si="52"/>
        <v>6.9952087611225187</v>
      </c>
      <c r="I106" s="249">
        <f t="shared" si="52"/>
        <v>7.9972621492128679</v>
      </c>
      <c r="J106" s="249">
        <f t="shared" si="52"/>
        <v>8.9965776865160851</v>
      </c>
      <c r="K106" s="249">
        <f t="shared" si="52"/>
        <v>9.9958932238193015</v>
      </c>
      <c r="L106" s="249">
        <f t="shared" si="52"/>
        <v>10.99520876112252</v>
      </c>
      <c r="M106" s="249">
        <f t="shared" si="52"/>
        <v>11.997262149212867</v>
      </c>
      <c r="N106" s="249">
        <f t="shared" si="52"/>
        <v>12.996577686516085</v>
      </c>
      <c r="O106" s="249">
        <f t="shared" si="52"/>
        <v>13.995893223819301</v>
      </c>
      <c r="P106" s="249">
        <f t="shared" si="52"/>
        <v>14.99520876112252</v>
      </c>
      <c r="Q106" s="249">
        <f t="shared" si="52"/>
        <v>15.997262149212867</v>
      </c>
      <c r="R106" s="249">
        <f t="shared" si="52"/>
        <v>16.996577686516083</v>
      </c>
      <c r="S106" s="249">
        <f t="shared" si="52"/>
        <v>17.995893223819301</v>
      </c>
      <c r="T106" s="249">
        <f t="shared" si="52"/>
        <v>18.99520876112252</v>
      </c>
      <c r="U106" s="249">
        <f t="shared" si="52"/>
        <v>19.997262149212869</v>
      </c>
      <c r="V106" s="249"/>
      <c r="W106" s="249"/>
      <c r="X106" s="249"/>
    </row>
    <row r="107" spans="1:24">
      <c r="B107" s="249"/>
      <c r="C107" s="249"/>
      <c r="D107" s="249"/>
      <c r="E107" s="249"/>
      <c r="F107" s="249"/>
      <c r="G107" s="249"/>
      <c r="H107" s="249"/>
      <c r="I107" s="249"/>
      <c r="J107" s="249"/>
      <c r="K107" s="249"/>
      <c r="L107" s="249"/>
      <c r="M107" s="249"/>
      <c r="N107" s="249"/>
      <c r="O107" s="249"/>
      <c r="P107" s="249"/>
      <c r="Q107" s="249"/>
      <c r="R107" s="249"/>
      <c r="S107" s="249"/>
      <c r="T107" s="249"/>
      <c r="U107" s="249"/>
      <c r="V107" s="249"/>
      <c r="W107" s="249"/>
      <c r="X107" s="249"/>
    </row>
    <row r="108" spans="1:24">
      <c r="A108" s="26" t="s">
        <v>87</v>
      </c>
      <c r="C108" s="203"/>
      <c r="D108" s="203"/>
      <c r="E108" s="203"/>
      <c r="F108" s="203"/>
      <c r="G108" s="203"/>
      <c r="H108" s="203"/>
      <c r="I108" s="203"/>
      <c r="J108" s="203"/>
      <c r="K108" s="203"/>
      <c r="L108" s="203"/>
      <c r="M108" s="203"/>
      <c r="N108" s="203"/>
      <c r="O108" s="203"/>
      <c r="P108" s="203"/>
      <c r="Q108" s="203"/>
      <c r="R108" s="203"/>
      <c r="S108" s="203"/>
      <c r="T108" s="203"/>
      <c r="U108" s="203"/>
      <c r="V108" s="203"/>
    </row>
    <row r="109" spans="1:24">
      <c r="A109" s="5" t="s">
        <v>13</v>
      </c>
      <c r="B109" s="251" t="e">
        <f>(SUMPRODUCT($B$105:$U$105,B19:U19)+SUMPRODUCT($B$106:$U$106,B26:U26))/E100</f>
        <v>#DIV/0!</v>
      </c>
      <c r="C109" s="203"/>
      <c r="D109" s="203"/>
      <c r="E109" s="203"/>
      <c r="F109" s="203"/>
      <c r="G109" s="203"/>
      <c r="H109" s="203"/>
      <c r="I109" s="203"/>
      <c r="J109" s="203"/>
      <c r="K109" s="203"/>
      <c r="L109" s="203"/>
      <c r="M109" s="203"/>
      <c r="N109" s="203"/>
      <c r="O109" s="203"/>
      <c r="P109" s="203"/>
      <c r="Q109" s="203"/>
      <c r="R109" s="203"/>
      <c r="S109" s="203"/>
      <c r="T109" s="203"/>
      <c r="U109" s="203"/>
      <c r="V109" s="203"/>
    </row>
    <row r="110" spans="1:24">
      <c r="A110" s="5" t="s">
        <v>14</v>
      </c>
      <c r="B110" s="251">
        <f>(SUMPRODUCT($B$105:$U$105,B39:U39)+SUMPRODUCT($B$106:$U$106,B46:U46))/J100</f>
        <v>7.1548336755646815</v>
      </c>
      <c r="C110" s="203"/>
      <c r="D110" s="203"/>
      <c r="E110" s="203"/>
      <c r="F110" s="203"/>
      <c r="G110" s="203"/>
      <c r="H110" s="203"/>
      <c r="I110" s="203"/>
      <c r="J110" s="203"/>
      <c r="K110" s="203"/>
      <c r="L110" s="203"/>
      <c r="M110" s="203"/>
      <c r="N110" s="203"/>
      <c r="O110" s="203"/>
      <c r="P110" s="203"/>
      <c r="Q110" s="203"/>
      <c r="R110" s="203"/>
      <c r="S110" s="203"/>
      <c r="T110" s="203"/>
      <c r="U110" s="203"/>
      <c r="V110" s="203"/>
    </row>
    <row r="111" spans="1:24">
      <c r="A111" s="5" t="s">
        <v>15</v>
      </c>
      <c r="B111" s="251">
        <f>(SUMPRODUCT($B$105:$U$105,B59:U59)+SUMPRODUCT($B$106:$U$106,B66:U66))/O100</f>
        <v>15.030609171800139</v>
      </c>
      <c r="F111" s="203"/>
      <c r="G111" s="203"/>
      <c r="H111" s="203"/>
      <c r="I111" s="203"/>
      <c r="J111" s="203"/>
      <c r="K111" s="203"/>
      <c r="L111" s="203"/>
      <c r="M111" s="203"/>
      <c r="N111" s="203"/>
      <c r="O111" s="203"/>
      <c r="P111" s="203"/>
      <c r="Q111" s="203"/>
      <c r="R111" s="203"/>
      <c r="S111" s="203"/>
      <c r="T111" s="203"/>
      <c r="U111" s="203"/>
      <c r="V111" s="203"/>
      <c r="W111" s="203"/>
      <c r="X111" s="203"/>
    </row>
    <row r="112" spans="1:24" ht="13.5" thickBo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</row>
  </sheetData>
  <mergeCells count="3">
    <mergeCell ref="B94:E94"/>
    <mergeCell ref="G94:J94"/>
    <mergeCell ref="L94:O94"/>
  </mergeCells>
  <pageMargins left="0.75" right="0.75" top="1" bottom="1" header="0.5" footer="0.5"/>
  <pageSetup scale="39" orientation="landscape" r:id="rId1"/>
  <headerFooter alignWithMargins="0">
    <oddHeader>&amp;L&amp;12Enron's Generation&amp;RCONFIDENTIAL</oddHeader>
    <oddFooter>&amp;L&amp;D&amp;C&amp;F&amp;RPage &amp;P</oddFooter>
  </headerFooter>
  <rowBreaks count="1" manualBreakCount="1">
    <brk id="89" max="31" man="1"/>
  </rowBreaks>
  <colBreaks count="1" manualBreakCount="1">
    <brk id="11" max="8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2:Y33"/>
  <sheetViews>
    <sheetView zoomScaleNormal="75" workbookViewId="0">
      <pane xSplit="1" ySplit="7" topLeftCell="B8" activePane="bottomRight" state="frozen"/>
      <selection pane="topRight"/>
      <selection pane="bottomLeft"/>
      <selection pane="bottomRight" activeCell="B13" sqref="B13"/>
    </sheetView>
  </sheetViews>
  <sheetFormatPr defaultRowHeight="12.75"/>
  <cols>
    <col min="1" max="1" width="40.85546875" style="5" bestFit="1" customWidth="1"/>
    <col min="2" max="2" width="9.28515625" style="5" bestFit="1" customWidth="1"/>
    <col min="3" max="22" width="10.7109375" style="5" bestFit="1" customWidth="1"/>
    <col min="23" max="24" width="10.28515625" style="96" bestFit="1" customWidth="1"/>
    <col min="25" max="25" width="4.7109375" style="96" bestFit="1" customWidth="1"/>
    <col min="26" max="16384" width="9.140625" style="5"/>
  </cols>
  <sheetData>
    <row r="2" spans="1:25" ht="18">
      <c r="A2" s="157" t="s">
        <v>90</v>
      </c>
      <c r="B2" s="157"/>
    </row>
    <row r="5" spans="1:25" ht="18">
      <c r="A5" s="252" t="s">
        <v>138</v>
      </c>
      <c r="B5" s="252"/>
    </row>
    <row r="6" spans="1:25">
      <c r="W6" s="253"/>
      <c r="X6" s="253"/>
    </row>
    <row r="7" spans="1:25" ht="13.5" thickBot="1">
      <c r="A7" s="162" t="s">
        <v>49</v>
      </c>
      <c r="B7" s="195" t="s">
        <v>107</v>
      </c>
      <c r="C7" s="163">
        <v>2001</v>
      </c>
      <c r="D7" s="163">
        <f t="shared" ref="D7:V7" si="0">C7+1</f>
        <v>2002</v>
      </c>
      <c r="E7" s="163">
        <f t="shared" si="0"/>
        <v>2003</v>
      </c>
      <c r="F7" s="163">
        <f>E7+1</f>
        <v>2004</v>
      </c>
      <c r="G7" s="163">
        <f t="shared" si="0"/>
        <v>2005</v>
      </c>
      <c r="H7" s="163">
        <f t="shared" si="0"/>
        <v>2006</v>
      </c>
      <c r="I7" s="163">
        <f t="shared" si="0"/>
        <v>2007</v>
      </c>
      <c r="J7" s="163">
        <f t="shared" si="0"/>
        <v>2008</v>
      </c>
      <c r="K7" s="163">
        <f t="shared" si="0"/>
        <v>2009</v>
      </c>
      <c r="L7" s="163">
        <f>K7+1</f>
        <v>2010</v>
      </c>
      <c r="M7" s="163">
        <f t="shared" si="0"/>
        <v>2011</v>
      </c>
      <c r="N7" s="163">
        <f t="shared" si="0"/>
        <v>2012</v>
      </c>
      <c r="O7" s="163">
        <f t="shared" si="0"/>
        <v>2013</v>
      </c>
      <c r="P7" s="163">
        <f t="shared" si="0"/>
        <v>2014</v>
      </c>
      <c r="Q7" s="163">
        <f t="shared" si="0"/>
        <v>2015</v>
      </c>
      <c r="R7" s="163">
        <f t="shared" si="0"/>
        <v>2016</v>
      </c>
      <c r="S7" s="163">
        <f t="shared" si="0"/>
        <v>2017</v>
      </c>
      <c r="T7" s="163">
        <f t="shared" si="0"/>
        <v>2018</v>
      </c>
      <c r="U7" s="163">
        <f t="shared" si="0"/>
        <v>2019</v>
      </c>
      <c r="V7" s="163">
        <f t="shared" si="0"/>
        <v>2020</v>
      </c>
      <c r="W7" s="254" t="s">
        <v>16</v>
      </c>
      <c r="X7" s="421" t="s">
        <v>146</v>
      </c>
      <c r="Y7" s="421"/>
    </row>
    <row r="8" spans="1:25">
      <c r="A8" s="256"/>
      <c r="B8" s="257">
        <f>'Summary Output'!B27</f>
        <v>36892</v>
      </c>
      <c r="C8" s="257">
        <v>37256</v>
      </c>
      <c r="D8" s="257">
        <v>37621</v>
      </c>
      <c r="E8" s="257">
        <v>37986</v>
      </c>
      <c r="F8" s="257">
        <v>38352</v>
      </c>
      <c r="G8" s="257">
        <v>38717</v>
      </c>
      <c r="H8" s="257">
        <v>39082</v>
      </c>
      <c r="I8" s="257">
        <v>39447</v>
      </c>
      <c r="J8" s="257">
        <v>39813</v>
      </c>
      <c r="K8" s="257">
        <v>40178</v>
      </c>
      <c r="L8" s="257">
        <v>40543</v>
      </c>
      <c r="M8" s="257">
        <v>40908</v>
      </c>
      <c r="N8" s="257">
        <v>41274</v>
      </c>
      <c r="O8" s="257">
        <v>41639</v>
      </c>
      <c r="P8" s="257">
        <v>42004</v>
      </c>
      <c r="Q8" s="257">
        <v>42369</v>
      </c>
      <c r="R8" s="257">
        <v>42735</v>
      </c>
      <c r="S8" s="257">
        <v>43100</v>
      </c>
      <c r="T8" s="257">
        <v>43465</v>
      </c>
      <c r="U8" s="257">
        <v>43830</v>
      </c>
      <c r="V8" s="257">
        <v>44196</v>
      </c>
      <c r="W8" s="258"/>
      <c r="X8" s="255"/>
      <c r="Y8" s="259"/>
    </row>
    <row r="9" spans="1:25">
      <c r="A9" s="167"/>
      <c r="B9" s="167"/>
      <c r="C9" s="164"/>
      <c r="D9" s="164"/>
      <c r="E9" s="164"/>
      <c r="F9" s="164"/>
      <c r="G9" s="260"/>
      <c r="H9" s="260"/>
      <c r="I9" s="261"/>
      <c r="J9" s="261"/>
      <c r="K9" s="260"/>
      <c r="L9" s="260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258"/>
      <c r="X9" s="255"/>
      <c r="Y9" s="259"/>
    </row>
    <row r="10" spans="1:25">
      <c r="A10" s="262" t="s">
        <v>56</v>
      </c>
      <c r="B10" s="180">
        <v>0</v>
      </c>
      <c r="C10" s="180">
        <f>IS!B27</f>
        <v>102546.92426127098</v>
      </c>
      <c r="D10" s="180">
        <f>IS!C27</f>
        <v>107648.82828346235</v>
      </c>
      <c r="E10" s="180">
        <f>IS!D27</f>
        <v>113025.54002121292</v>
      </c>
      <c r="F10" s="180">
        <f>IS!E27</f>
        <v>118790.46139857352</v>
      </c>
      <c r="G10" s="180">
        <f>IS!F27</f>
        <v>124878.62511570231</v>
      </c>
      <c r="H10" s="180">
        <f>IS!G27</f>
        <v>126862.51987268728</v>
      </c>
      <c r="I10" s="180">
        <f>IS!H27</f>
        <v>128934.87217194935</v>
      </c>
      <c r="J10" s="180">
        <f>IS!I27</f>
        <v>131107.06770664867</v>
      </c>
      <c r="K10" s="180">
        <f>IS!J27</f>
        <v>133420.14993633828</v>
      </c>
      <c r="L10" s="180">
        <f>IS!K27</f>
        <v>135852.52883887073</v>
      </c>
      <c r="M10" s="180">
        <f>IS!L27</f>
        <v>138007.92091757781</v>
      </c>
      <c r="N10" s="180">
        <f>IS!M27</f>
        <v>140358.28220886586</v>
      </c>
      <c r="O10" s="180">
        <f>IS!N27</f>
        <v>142393.85619765666</v>
      </c>
      <c r="P10" s="180">
        <f>IS!O27</f>
        <v>144821.85323260652</v>
      </c>
      <c r="Q10" s="180">
        <f>IS!P27</f>
        <v>146848.01265171097</v>
      </c>
      <c r="R10" s="180">
        <f>IS!Q27</f>
        <v>149540.45701264116</v>
      </c>
      <c r="S10" s="180">
        <f>IS!R27</f>
        <v>151673.36412037216</v>
      </c>
      <c r="T10" s="180">
        <f>IS!S27</f>
        <v>153833.34783491993</v>
      </c>
      <c r="U10" s="180">
        <f>IS!T27</f>
        <v>156020.67743168701</v>
      </c>
      <c r="V10" s="180">
        <f>IS!U27</f>
        <v>158235.62214532806</v>
      </c>
      <c r="W10" s="263">
        <f>SUM(C10:V10)</f>
        <v>2704800.9113600827</v>
      </c>
      <c r="X10" s="264">
        <f>SUM(Wheatland!W48,Wilton!W48,Gleason!W48)</f>
        <v>2704800.9113600827</v>
      </c>
      <c r="Y10" s="265">
        <f>W10-X10</f>
        <v>0</v>
      </c>
    </row>
    <row r="11" spans="1:25">
      <c r="B11" s="180"/>
      <c r="C11" s="180"/>
      <c r="D11" s="180"/>
      <c r="E11" s="180"/>
      <c r="F11" s="180"/>
      <c r="G11" s="180"/>
      <c r="H11" s="180"/>
      <c r="I11" s="180"/>
      <c r="J11" s="180"/>
      <c r="K11" s="180"/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0"/>
      <c r="W11" s="208"/>
      <c r="X11" s="259"/>
      <c r="Y11" s="259"/>
    </row>
    <row r="12" spans="1:25" s="96" customFormat="1" ht="12" customHeight="1">
      <c r="A12" s="266" t="s">
        <v>153</v>
      </c>
      <c r="B12" s="267">
        <v>0</v>
      </c>
      <c r="C12" s="268">
        <f>IS!B22</f>
        <v>746.46</v>
      </c>
      <c r="D12" s="268">
        <f>IS!C22</f>
        <v>1050.307</v>
      </c>
      <c r="E12" s="268">
        <f>IS!D22</f>
        <v>1248.0929999999998</v>
      </c>
      <c r="F12" s="268">
        <f>IS!E22</f>
        <v>1339.135</v>
      </c>
      <c r="G12" s="268">
        <f>IS!F22</f>
        <v>1401.501</v>
      </c>
      <c r="H12" s="268">
        <f>IS!G22</f>
        <v>1623.5369999999998</v>
      </c>
      <c r="I12" s="268">
        <f>IS!H22</f>
        <v>1795.9389999999999</v>
      </c>
      <c r="J12" s="268">
        <f>IS!I22</f>
        <v>1908.1120000000001</v>
      </c>
      <c r="K12" s="268">
        <f>IS!J22</f>
        <v>1920.1799999999998</v>
      </c>
      <c r="L12" s="268">
        <f>IS!K22</f>
        <v>1854.1379999999999</v>
      </c>
      <c r="M12" s="268">
        <f>IS!L22</f>
        <v>2009.2130000000002</v>
      </c>
      <c r="N12" s="268">
        <f>IS!M22</f>
        <v>2009.1799999999998</v>
      </c>
      <c r="O12" s="268">
        <f>IS!N22</f>
        <v>2358.1</v>
      </c>
      <c r="P12" s="268">
        <f>IS!O22</f>
        <v>2358.1</v>
      </c>
      <c r="Q12" s="268">
        <f>IS!P22</f>
        <v>2794.25</v>
      </c>
      <c r="R12" s="268">
        <f>IS!Q22</f>
        <v>2229.731045</v>
      </c>
      <c r="S12" s="268">
        <f>IS!R22</f>
        <v>2244.6096659</v>
      </c>
      <c r="T12" s="268">
        <f>IS!S22</f>
        <v>2259.785859218</v>
      </c>
      <c r="U12" s="268">
        <f>IS!T22</f>
        <v>2275.2655764023598</v>
      </c>
      <c r="V12" s="268">
        <f>IS!U22</f>
        <v>2291.0548879304069</v>
      </c>
      <c r="W12" s="263">
        <f>SUM(C12:V12)</f>
        <v>37716.69203445076</v>
      </c>
      <c r="X12" s="264">
        <f>SUM(IS!B22:U22)</f>
        <v>37716.69203445076</v>
      </c>
      <c r="Y12" s="265">
        <f>W12-X12</f>
        <v>0</v>
      </c>
    </row>
    <row r="13" spans="1:25" s="96" customFormat="1">
      <c r="A13" s="266" t="s">
        <v>154</v>
      </c>
      <c r="B13" s="267">
        <v>0</v>
      </c>
      <c r="C13" s="268">
        <f>SUM(Gleason!B50,Wheatland!B50,Wilton!B50)</f>
        <v>-629.19810140000004</v>
      </c>
      <c r="D13" s="268">
        <f>-C12</f>
        <v>-746.46</v>
      </c>
      <c r="E13" s="268">
        <f t="shared" ref="E13:V13" si="1">-D12</f>
        <v>-1050.307</v>
      </c>
      <c r="F13" s="268">
        <f t="shared" si="1"/>
        <v>-1248.0929999999998</v>
      </c>
      <c r="G13" s="268">
        <f t="shared" si="1"/>
        <v>-1339.135</v>
      </c>
      <c r="H13" s="268">
        <f t="shared" si="1"/>
        <v>-1401.501</v>
      </c>
      <c r="I13" s="268">
        <f t="shared" si="1"/>
        <v>-1623.5369999999998</v>
      </c>
      <c r="J13" s="268">
        <f t="shared" si="1"/>
        <v>-1795.9389999999999</v>
      </c>
      <c r="K13" s="268">
        <f t="shared" si="1"/>
        <v>-1908.1120000000001</v>
      </c>
      <c r="L13" s="268">
        <f t="shared" si="1"/>
        <v>-1920.1799999999998</v>
      </c>
      <c r="M13" s="268">
        <f t="shared" si="1"/>
        <v>-1854.1379999999999</v>
      </c>
      <c r="N13" s="268">
        <f t="shared" si="1"/>
        <v>-2009.2130000000002</v>
      </c>
      <c r="O13" s="268">
        <f t="shared" si="1"/>
        <v>-2009.1799999999998</v>
      </c>
      <c r="P13" s="268">
        <f t="shared" si="1"/>
        <v>-2358.1</v>
      </c>
      <c r="Q13" s="268">
        <f t="shared" si="1"/>
        <v>-2358.1</v>
      </c>
      <c r="R13" s="268">
        <f t="shared" si="1"/>
        <v>-2794.25</v>
      </c>
      <c r="S13" s="268">
        <f t="shared" si="1"/>
        <v>-2229.731045</v>
      </c>
      <c r="T13" s="268">
        <f t="shared" si="1"/>
        <v>-2244.6096659</v>
      </c>
      <c r="U13" s="268">
        <f t="shared" si="1"/>
        <v>-2259.785859218</v>
      </c>
      <c r="V13" s="268">
        <f t="shared" si="1"/>
        <v>-2275.2655764023598</v>
      </c>
      <c r="W13" s="263">
        <f>SUM(C13:V13)</f>
        <v>-36054.835247920353</v>
      </c>
      <c r="X13" s="264">
        <f>SUM(Wheatland!W50,Wilton!W50,Gleason!W50)</f>
        <v>-36054.83524792036</v>
      </c>
      <c r="Y13" s="265">
        <f>W13-X13</f>
        <v>0</v>
      </c>
    </row>
    <row r="14" spans="1:25">
      <c r="A14" s="266" t="s">
        <v>86</v>
      </c>
      <c r="B14" s="267">
        <v>0</v>
      </c>
      <c r="C14" s="267">
        <f>-Debt!B75</f>
        <v>0</v>
      </c>
      <c r="D14" s="267">
        <f>-Debt!C75</f>
        <v>0</v>
      </c>
      <c r="E14" s="267">
        <f>-Debt!D75</f>
        <v>0</v>
      </c>
      <c r="F14" s="267">
        <f>-Debt!E75</f>
        <v>-4675</v>
      </c>
      <c r="G14" s="267">
        <f>-Debt!F75</f>
        <v>-6435</v>
      </c>
      <c r="H14" s="267">
        <f>-Debt!G75</f>
        <v>-7315</v>
      </c>
      <c r="I14" s="267">
        <f>-Debt!H75</f>
        <v>-7974.9999999999991</v>
      </c>
      <c r="J14" s="267">
        <f>-Debt!I75</f>
        <v>-9075</v>
      </c>
      <c r="K14" s="267">
        <f>-Debt!J75</f>
        <v>-9955</v>
      </c>
      <c r="L14" s="267">
        <f>-Debt!K75</f>
        <v>-14009.999999999996</v>
      </c>
      <c r="M14" s="267">
        <f>-Debt!L75</f>
        <v>-29600</v>
      </c>
      <c r="N14" s="267">
        <f>-Debt!M75</f>
        <v>-29600</v>
      </c>
      <c r="O14" s="267">
        <f>-Debt!N75</f>
        <v>-29600</v>
      </c>
      <c r="P14" s="267">
        <f>-Debt!O75</f>
        <v>-29600</v>
      </c>
      <c r="Q14" s="267">
        <f>-Debt!P75</f>
        <v>-31080</v>
      </c>
      <c r="R14" s="267">
        <f>-Debt!Q75</f>
        <v>-32560</v>
      </c>
      <c r="S14" s="267">
        <f>-Debt!R75</f>
        <v>-32560</v>
      </c>
      <c r="T14" s="267">
        <f>-Debt!S75</f>
        <v>-26640</v>
      </c>
      <c r="U14" s="267">
        <f>-Debt!T75</f>
        <v>-26640</v>
      </c>
      <c r="V14" s="267">
        <f>-Debt!U75</f>
        <v>-23680.000000000025</v>
      </c>
      <c r="W14" s="263">
        <f>SUM(C14:V14)</f>
        <v>-351000</v>
      </c>
      <c r="X14" s="264">
        <f>SUM(Debt!B75:U75)</f>
        <v>351000</v>
      </c>
      <c r="Y14" s="265">
        <f>W14+X14</f>
        <v>0</v>
      </c>
    </row>
    <row r="15" spans="1:25">
      <c r="A15" s="266" t="s">
        <v>85</v>
      </c>
      <c r="B15" s="269">
        <v>0</v>
      </c>
      <c r="C15" s="269">
        <f>-Debt!B76</f>
        <v>-39067.838466803558</v>
      </c>
      <c r="D15" s="269">
        <f>-Debt!C76</f>
        <v>-39175.167693360709</v>
      </c>
      <c r="E15" s="269">
        <f>-Debt!D76</f>
        <v>-39175.167693360709</v>
      </c>
      <c r="F15" s="269">
        <f>-Debt!E76</f>
        <v>-39152.966461327858</v>
      </c>
      <c r="G15" s="269">
        <f>-Debt!F76</f>
        <v>-38482.974811772758</v>
      </c>
      <c r="H15" s="269">
        <f>-Debt!G76</f>
        <v>-37751.227104722791</v>
      </c>
      <c r="I15" s="269">
        <f>-Debt!H76</f>
        <v>-36928.841204654338</v>
      </c>
      <c r="J15" s="269">
        <f>-Debt!I76</f>
        <v>-36121.092402464063</v>
      </c>
      <c r="K15" s="269">
        <f>-Debt!J76</f>
        <v>-34999.764955509927</v>
      </c>
      <c r="L15" s="269">
        <f>-Debt!K76</f>
        <v>-33815.555099247089</v>
      </c>
      <c r="M15" s="269">
        <f>-Debt!L76</f>
        <v>-31797.328952772077</v>
      </c>
      <c r="N15" s="269">
        <f>-Debt!M76</f>
        <v>-28564.725311430528</v>
      </c>
      <c r="O15" s="269">
        <f>-Debt!N76</f>
        <v>-25171.467214236822</v>
      </c>
      <c r="P15" s="269">
        <f>-Debt!O76</f>
        <v>-21858.536344969198</v>
      </c>
      <c r="Q15" s="269">
        <f>-Debt!P76</f>
        <v>-18503.853470225873</v>
      </c>
      <c r="R15" s="269">
        <f>-Debt!Q76</f>
        <v>-15027.091362080768</v>
      </c>
      <c r="S15" s="269">
        <f>-Debt!R76</f>
        <v>-11339.300095824778</v>
      </c>
      <c r="T15" s="269">
        <f>-Debt!S76</f>
        <v>-7862.0841615331965</v>
      </c>
      <c r="U15" s="269">
        <f>-Debt!T76</f>
        <v>-4880.4463791923336</v>
      </c>
      <c r="V15" s="269">
        <f>-Debt!U76</f>
        <v>-1906.0698151950721</v>
      </c>
      <c r="W15" s="270">
        <f>SUM(C15:V15)</f>
        <v>-541581.49900068436</v>
      </c>
      <c r="X15" s="264">
        <f>SUM(Debt!B76:U76)</f>
        <v>541581.49900068436</v>
      </c>
      <c r="Y15" s="265">
        <f>W15+X15</f>
        <v>0</v>
      </c>
    </row>
    <row r="16" spans="1:25">
      <c r="A16" s="266"/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0"/>
      <c r="U16" s="180"/>
      <c r="V16" s="180"/>
      <c r="W16" s="204"/>
      <c r="X16" s="264"/>
      <c r="Y16" s="178"/>
    </row>
    <row r="17" spans="1:25">
      <c r="A17" s="262" t="s">
        <v>209</v>
      </c>
      <c r="B17" s="271">
        <f>SUM(B10:B15)</f>
        <v>0</v>
      </c>
      <c r="C17" s="271">
        <f>SUM(C10:C15)</f>
        <v>63596.347693067422</v>
      </c>
      <c r="D17" s="271">
        <f t="shared" ref="D17:V17" si="2">SUM(D10:D15)</f>
        <v>68777.507590101639</v>
      </c>
      <c r="E17" s="271">
        <f t="shared" si="2"/>
        <v>74048.158327852201</v>
      </c>
      <c r="F17" s="271">
        <f t="shared" si="2"/>
        <v>75053.536937245663</v>
      </c>
      <c r="G17" s="271">
        <f t="shared" si="2"/>
        <v>80023.016303929558</v>
      </c>
      <c r="H17" s="271">
        <f t="shared" si="2"/>
        <v>82018.328767964471</v>
      </c>
      <c r="I17" s="271">
        <f t="shared" si="2"/>
        <v>84203.432967295012</v>
      </c>
      <c r="J17" s="271">
        <f t="shared" si="2"/>
        <v>86023.148304184579</v>
      </c>
      <c r="K17" s="271">
        <f t="shared" si="2"/>
        <v>88477.452980828355</v>
      </c>
      <c r="L17" s="271">
        <f t="shared" si="2"/>
        <v>87960.931739623658</v>
      </c>
      <c r="M17" s="271">
        <f t="shared" si="2"/>
        <v>76765.666964805714</v>
      </c>
      <c r="N17" s="271">
        <f t="shared" si="2"/>
        <v>82193.523897435341</v>
      </c>
      <c r="O17" s="271">
        <f t="shared" si="2"/>
        <v>87971.308983419847</v>
      </c>
      <c r="P17" s="271">
        <f t="shared" si="2"/>
        <v>93363.316887637324</v>
      </c>
      <c r="Q17" s="271">
        <f t="shared" si="2"/>
        <v>97700.309181485092</v>
      </c>
      <c r="R17" s="271">
        <f t="shared" si="2"/>
        <v>101388.84669556038</v>
      </c>
      <c r="S17" s="271">
        <f t="shared" si="2"/>
        <v>107788.9426454474</v>
      </c>
      <c r="T17" s="271">
        <f t="shared" si="2"/>
        <v>119346.43986670474</v>
      </c>
      <c r="U17" s="271">
        <f t="shared" si="2"/>
        <v>124515.71076967903</v>
      </c>
      <c r="V17" s="271">
        <f t="shared" si="2"/>
        <v>132665.34164166098</v>
      </c>
      <c r="W17" s="263">
        <f>SUM(C17:V17)</f>
        <v>1813881.2691459283</v>
      </c>
      <c r="X17" s="264">
        <f>SUM(Wheatland!W53,Wilton!W53,Gleason!W53)</f>
        <v>1813881.2691459283</v>
      </c>
      <c r="Y17" s="265">
        <f>W17-X17</f>
        <v>0</v>
      </c>
    </row>
    <row r="18" spans="1:25">
      <c r="A18" s="262"/>
      <c r="B18" s="180"/>
      <c r="C18" s="180"/>
      <c r="D18" s="180"/>
      <c r="E18" s="180"/>
      <c r="F18" s="180"/>
      <c r="G18" s="180"/>
      <c r="H18" s="180"/>
      <c r="I18" s="180"/>
      <c r="J18" s="180"/>
      <c r="K18" s="180"/>
      <c r="L18" s="180"/>
      <c r="M18" s="180"/>
      <c r="N18" s="180"/>
      <c r="O18" s="180"/>
      <c r="P18" s="180"/>
      <c r="Q18" s="180"/>
      <c r="R18" s="180"/>
      <c r="S18" s="180"/>
      <c r="T18" s="180"/>
      <c r="U18" s="180"/>
      <c r="V18" s="180"/>
      <c r="W18" s="204"/>
      <c r="X18" s="259"/>
      <c r="Y18" s="178"/>
    </row>
    <row r="19" spans="1:25">
      <c r="A19" s="175" t="s">
        <v>184</v>
      </c>
      <c r="B19" s="180">
        <v>0</v>
      </c>
      <c r="C19" s="180">
        <f>-Tax!B8</f>
        <v>-1791.6692121988806</v>
      </c>
      <c r="D19" s="180">
        <f>-Tax!C8</f>
        <v>-485.54021269266622</v>
      </c>
      <c r="E19" s="180">
        <f>-Tax!D8</f>
        <v>-790.67777468099484</v>
      </c>
      <c r="F19" s="180">
        <f>-Tax!E8</f>
        <v>-1324.9859526489649</v>
      </c>
      <c r="G19" s="180">
        <f>-Tax!F8</f>
        <v>-2186.705247209537</v>
      </c>
      <c r="H19" s="180">
        <f>-Tax!G8</f>
        <v>-2995.721300719189</v>
      </c>
      <c r="I19" s="180">
        <f>-Tax!H8</f>
        <v>-3362.4662499572623</v>
      </c>
      <c r="J19" s="180">
        <f>-Tax!I8</f>
        <v>-3569.2443813122154</v>
      </c>
      <c r="K19" s="180">
        <f>-Tax!J8</f>
        <v>-3818.7756895138477</v>
      </c>
      <c r="L19" s="180">
        <f>-Tax!K8</f>
        <v>-4072.11686884444</v>
      </c>
      <c r="M19" s="180">
        <f>-Tax!L8</f>
        <v>-4366.8506411060189</v>
      </c>
      <c r="N19" s="180">
        <f>-Tax!M8</f>
        <v>-4752.212797422475</v>
      </c>
      <c r="O19" s="180">
        <f>-Tax!N8</f>
        <v>-5140.112380759052</v>
      </c>
      <c r="P19" s="180">
        <f>-Tax!O8</f>
        <v>-5536.4360682808383</v>
      </c>
      <c r="Q19" s="180">
        <f>-Tax!P8</f>
        <v>-5921.7196643703637</v>
      </c>
      <c r="R19" s="180">
        <f>-Tax!Q8</f>
        <v>-7795.3504876941442</v>
      </c>
      <c r="S19" s="180">
        <f>-Tax!R8</f>
        <v>-9650.5437186057043</v>
      </c>
      <c r="T19" s="180">
        <f>-Tax!S8</f>
        <v>-10047.404842275315</v>
      </c>
      <c r="U19" s="180">
        <f>-Tax!T8</f>
        <v>-10411.340758341927</v>
      </c>
      <c r="V19" s="180">
        <f>-Tax!U8</f>
        <v>-10776.721534711491</v>
      </c>
      <c r="W19" s="263">
        <f>SUM(C19:V19)</f>
        <v>-98796.595783345343</v>
      </c>
      <c r="X19" s="264">
        <f>SUM(Wheatland!W55,Wilton!W55,Gleason!W55)</f>
        <v>-98796.595783345343</v>
      </c>
      <c r="Y19" s="265">
        <f>W19-X19</f>
        <v>0</v>
      </c>
    </row>
    <row r="20" spans="1:25">
      <c r="A20" s="175" t="s">
        <v>185</v>
      </c>
      <c r="B20" s="272">
        <v>0</v>
      </c>
      <c r="C20" s="272">
        <f>-Tax!B24</f>
        <v>-7552.1595595195131</v>
      </c>
      <c r="D20" s="272">
        <f>-Tax!C24</f>
        <v>0</v>
      </c>
      <c r="E20" s="272">
        <f>-Tax!D24</f>
        <v>0</v>
      </c>
      <c r="F20" s="272">
        <f>-Tax!E24</f>
        <v>-4478.1667122983445</v>
      </c>
      <c r="G20" s="272">
        <f>-Tax!F24</f>
        <v>-10015.858135287575</v>
      </c>
      <c r="H20" s="272">
        <f>-Tax!G24</f>
        <v>-12648.558453169853</v>
      </c>
      <c r="I20" s="272">
        <f>-Tax!H24</f>
        <v>-14459.892882824332</v>
      </c>
      <c r="J20" s="272">
        <f>-Tax!I24</f>
        <v>-15402.424182272898</v>
      </c>
      <c r="K20" s="272">
        <f>-Tax!J24</f>
        <v>-16545.208483716193</v>
      </c>
      <c r="L20" s="272">
        <f>-Tax!K24</f>
        <v>-17694.268264040285</v>
      </c>
      <c r="M20" s="272">
        <f>-Tax!L24</f>
        <v>-19079.954695051016</v>
      </c>
      <c r="N20" s="272">
        <f>-Tax!M24</f>
        <v>-20871.038794272066</v>
      </c>
      <c r="O20" s="272">
        <f>-Tax!N24</f>
        <v>-22663.442042687388</v>
      </c>
      <c r="P20" s="272">
        <f>-Tax!O24</f>
        <v>-24505.976646042331</v>
      </c>
      <c r="Q20" s="272">
        <f>-Tax!P24</f>
        <v>-26282.499062746268</v>
      </c>
      <c r="R20" s="272">
        <f>-Tax!Q24</f>
        <v>-36068.627922881242</v>
      </c>
      <c r="S20" s="272">
        <f>-Tax!R24</f>
        <v>-45739.232107079581</v>
      </c>
      <c r="T20" s="272">
        <f>-Tax!S24</f>
        <v>-47573.350590888986</v>
      </c>
      <c r="U20" s="272">
        <f>-Tax!T24</f>
        <v>-49255.111602953461</v>
      </c>
      <c r="V20" s="272">
        <f>-Tax!U24</f>
        <v>-50943.490778397521</v>
      </c>
      <c r="W20" s="270">
        <f>SUM(C20:V20)</f>
        <v>-441779.26091612887</v>
      </c>
      <c r="X20" s="264">
        <f>SUM(Wheatland!W56,Wilton!W56,Gleason!W56)</f>
        <v>-441779.26091612881</v>
      </c>
      <c r="Y20" s="265">
        <f>W20-X20</f>
        <v>0</v>
      </c>
    </row>
    <row r="21" spans="1:25">
      <c r="A21" s="266"/>
      <c r="B21" s="273"/>
      <c r="C21" s="273"/>
      <c r="D21" s="273"/>
      <c r="E21" s="273"/>
      <c r="F21" s="273"/>
      <c r="G21" s="273"/>
      <c r="H21" s="273"/>
      <c r="I21" s="273"/>
      <c r="J21" s="273"/>
      <c r="K21" s="273"/>
      <c r="L21" s="273"/>
      <c r="M21" s="273"/>
      <c r="N21" s="273"/>
      <c r="O21" s="273"/>
      <c r="P21" s="273"/>
      <c r="Q21" s="273"/>
      <c r="R21" s="273"/>
      <c r="S21" s="273"/>
      <c r="T21" s="273"/>
      <c r="U21" s="273"/>
      <c r="V21" s="273"/>
      <c r="W21" s="206"/>
      <c r="X21" s="274"/>
      <c r="Y21" s="178"/>
    </row>
    <row r="22" spans="1:25" s="26" customFormat="1">
      <c r="A22" s="262" t="s">
        <v>210</v>
      </c>
      <c r="B22" s="271">
        <f t="shared" ref="B22:W22" si="3">SUM(B20,B19,B17)</f>
        <v>0</v>
      </c>
      <c r="C22" s="271">
        <f t="shared" si="3"/>
        <v>54252.51892134903</v>
      </c>
      <c r="D22" s="271">
        <f t="shared" si="3"/>
        <v>68291.967377408975</v>
      </c>
      <c r="E22" s="271">
        <f t="shared" si="3"/>
        <v>73257.480553171205</v>
      </c>
      <c r="F22" s="271">
        <f t="shared" si="3"/>
        <v>69250.384272298354</v>
      </c>
      <c r="G22" s="271">
        <f t="shared" si="3"/>
        <v>67820.452921432443</v>
      </c>
      <c r="H22" s="271">
        <f t="shared" si="3"/>
        <v>66374.049014075426</v>
      </c>
      <c r="I22" s="271">
        <f t="shared" si="3"/>
        <v>66381.073834513416</v>
      </c>
      <c r="J22" s="271">
        <f t="shared" si="3"/>
        <v>67051.479740599461</v>
      </c>
      <c r="K22" s="271">
        <f t="shared" si="3"/>
        <v>68113.468807598314</v>
      </c>
      <c r="L22" s="271">
        <f t="shared" si="3"/>
        <v>66194.546606738935</v>
      </c>
      <c r="M22" s="271">
        <f t="shared" si="3"/>
        <v>53318.861628648679</v>
      </c>
      <c r="N22" s="271">
        <f t="shared" si="3"/>
        <v>56570.2723057408</v>
      </c>
      <c r="O22" s="271">
        <f t="shared" si="3"/>
        <v>60167.754559973408</v>
      </c>
      <c r="P22" s="271">
        <f t="shared" si="3"/>
        <v>63320.904173314157</v>
      </c>
      <c r="Q22" s="271">
        <f t="shared" si="3"/>
        <v>65496.090454368459</v>
      </c>
      <c r="R22" s="271">
        <f t="shared" si="3"/>
        <v>57524.868284984994</v>
      </c>
      <c r="S22" s="271">
        <f t="shared" si="3"/>
        <v>52399.166819762118</v>
      </c>
      <c r="T22" s="271">
        <f t="shared" si="3"/>
        <v>61725.684433540431</v>
      </c>
      <c r="U22" s="271">
        <f t="shared" si="3"/>
        <v>64849.258408383648</v>
      </c>
      <c r="V22" s="271">
        <f t="shared" si="3"/>
        <v>70945.129328551964</v>
      </c>
      <c r="W22" s="275">
        <f t="shared" si="3"/>
        <v>1273305.4124464542</v>
      </c>
      <c r="X22" s="264">
        <f>SUM(Wheatland!W58,Wilton!W58,Gleason!W58)</f>
        <v>1273305.4124464539</v>
      </c>
      <c r="Y22" s="265">
        <f>W22-X22</f>
        <v>0</v>
      </c>
    </row>
    <row r="23" spans="1:25">
      <c r="A23" s="266"/>
      <c r="B23" s="273"/>
      <c r="C23" s="174"/>
      <c r="D23" s="174"/>
      <c r="E23" s="174"/>
      <c r="F23" s="174"/>
      <c r="G23" s="174"/>
      <c r="H23" s="174"/>
      <c r="I23" s="174"/>
      <c r="J23" s="174"/>
      <c r="K23" s="17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  <c r="W23" s="206"/>
      <c r="X23" s="207"/>
      <c r="Y23" s="5"/>
    </row>
    <row r="24" spans="1:25">
      <c r="A24" s="266"/>
      <c r="B24" s="276"/>
      <c r="C24" s="276"/>
      <c r="D24" s="276"/>
      <c r="E24" s="276"/>
      <c r="F24" s="273"/>
      <c r="G24" s="273"/>
      <c r="H24" s="273"/>
      <c r="I24" s="273"/>
      <c r="J24" s="273"/>
      <c r="K24" s="273"/>
      <c r="L24" s="273"/>
      <c r="M24" s="273"/>
      <c r="N24" s="273"/>
      <c r="O24" s="273"/>
      <c r="P24" s="273"/>
      <c r="Q24" s="273"/>
      <c r="R24" s="273"/>
      <c r="S24" s="273"/>
      <c r="T24" s="273"/>
      <c r="U24" s="273"/>
      <c r="V24" s="273"/>
      <c r="W24" s="273"/>
      <c r="X24" s="207"/>
    </row>
    <row r="25" spans="1:25" ht="18">
      <c r="A25" s="252" t="s">
        <v>67</v>
      </c>
    </row>
    <row r="26" spans="1:25" ht="12" customHeight="1">
      <c r="A26" s="252"/>
    </row>
    <row r="27" spans="1:25" ht="13.5" thickBot="1">
      <c r="A27" s="162" t="s">
        <v>49</v>
      </c>
      <c r="B27" s="195" t="s">
        <v>107</v>
      </c>
      <c r="C27" s="163">
        <v>2001</v>
      </c>
      <c r="D27" s="163">
        <f t="shared" ref="D27:V27" si="4">C27+1</f>
        <v>2002</v>
      </c>
      <c r="E27" s="163">
        <f t="shared" si="4"/>
        <v>2003</v>
      </c>
      <c r="F27" s="163">
        <f t="shared" si="4"/>
        <v>2004</v>
      </c>
      <c r="G27" s="163">
        <f t="shared" si="4"/>
        <v>2005</v>
      </c>
      <c r="H27" s="163">
        <f t="shared" si="4"/>
        <v>2006</v>
      </c>
      <c r="I27" s="163">
        <f t="shared" si="4"/>
        <v>2007</v>
      </c>
      <c r="J27" s="163">
        <f t="shared" si="4"/>
        <v>2008</v>
      </c>
      <c r="K27" s="163">
        <f t="shared" si="4"/>
        <v>2009</v>
      </c>
      <c r="L27" s="163">
        <f t="shared" si="4"/>
        <v>2010</v>
      </c>
      <c r="M27" s="163">
        <f t="shared" si="4"/>
        <v>2011</v>
      </c>
      <c r="N27" s="163">
        <f t="shared" si="4"/>
        <v>2012</v>
      </c>
      <c r="O27" s="163">
        <f t="shared" si="4"/>
        <v>2013</v>
      </c>
      <c r="P27" s="163">
        <f t="shared" si="4"/>
        <v>2014</v>
      </c>
      <c r="Q27" s="163">
        <f t="shared" si="4"/>
        <v>2015</v>
      </c>
      <c r="R27" s="163">
        <f t="shared" si="4"/>
        <v>2016</v>
      </c>
      <c r="S27" s="163">
        <f t="shared" si="4"/>
        <v>2017</v>
      </c>
      <c r="T27" s="163">
        <f t="shared" si="4"/>
        <v>2018</v>
      </c>
      <c r="U27" s="163">
        <f t="shared" si="4"/>
        <v>2019</v>
      </c>
      <c r="V27" s="163">
        <f t="shared" si="4"/>
        <v>2020</v>
      </c>
      <c r="X27" s="5"/>
    </row>
    <row r="28" spans="1:25">
      <c r="V28" s="96"/>
      <c r="X28" s="5"/>
    </row>
    <row r="29" spans="1:25">
      <c r="A29" s="5" t="s">
        <v>223</v>
      </c>
      <c r="B29" s="180">
        <f>-'Summary Output'!C7</f>
        <v>-451196.35681568435</v>
      </c>
      <c r="C29" s="180">
        <v>0</v>
      </c>
      <c r="D29" s="180">
        <v>0</v>
      </c>
      <c r="E29" s="180">
        <v>0</v>
      </c>
      <c r="F29" s="180">
        <v>0</v>
      </c>
      <c r="G29" s="180">
        <v>0</v>
      </c>
      <c r="H29" s="180">
        <v>0</v>
      </c>
      <c r="I29" s="180">
        <v>0</v>
      </c>
      <c r="J29" s="180">
        <v>0</v>
      </c>
      <c r="K29" s="180">
        <v>0</v>
      </c>
      <c r="L29" s="180">
        <v>0</v>
      </c>
      <c r="M29" s="180">
        <v>0</v>
      </c>
      <c r="N29" s="180">
        <v>0</v>
      </c>
      <c r="O29" s="180">
        <v>0</v>
      </c>
      <c r="P29" s="180">
        <v>0</v>
      </c>
      <c r="Q29" s="180">
        <v>0</v>
      </c>
      <c r="R29" s="180">
        <v>0</v>
      </c>
      <c r="S29" s="180">
        <v>0</v>
      </c>
      <c r="T29" s="180">
        <v>0</v>
      </c>
      <c r="U29" s="180">
        <v>0</v>
      </c>
      <c r="V29" s="208">
        <v>0</v>
      </c>
    </row>
    <row r="30" spans="1:25">
      <c r="A30" s="5" t="s">
        <v>224</v>
      </c>
      <c r="B30" s="267">
        <f>B22</f>
        <v>0</v>
      </c>
      <c r="C30" s="267">
        <f>C22</f>
        <v>54252.51892134903</v>
      </c>
      <c r="D30" s="267">
        <f t="shared" ref="D30:V30" si="5">D22</f>
        <v>68291.967377408975</v>
      </c>
      <c r="E30" s="267">
        <f t="shared" si="5"/>
        <v>73257.480553171205</v>
      </c>
      <c r="F30" s="267">
        <f t="shared" si="5"/>
        <v>69250.384272298354</v>
      </c>
      <c r="G30" s="267">
        <f t="shared" si="5"/>
        <v>67820.452921432443</v>
      </c>
      <c r="H30" s="267">
        <f t="shared" si="5"/>
        <v>66374.049014075426</v>
      </c>
      <c r="I30" s="267">
        <f t="shared" si="5"/>
        <v>66381.073834513416</v>
      </c>
      <c r="J30" s="267">
        <f t="shared" si="5"/>
        <v>67051.479740599461</v>
      </c>
      <c r="K30" s="267">
        <f t="shared" si="5"/>
        <v>68113.468807598314</v>
      </c>
      <c r="L30" s="267">
        <f t="shared" si="5"/>
        <v>66194.546606738935</v>
      </c>
      <c r="M30" s="267">
        <f t="shared" si="5"/>
        <v>53318.861628648679</v>
      </c>
      <c r="N30" s="267">
        <f t="shared" si="5"/>
        <v>56570.2723057408</v>
      </c>
      <c r="O30" s="267">
        <f t="shared" si="5"/>
        <v>60167.754559973408</v>
      </c>
      <c r="P30" s="267">
        <f t="shared" si="5"/>
        <v>63320.904173314157</v>
      </c>
      <c r="Q30" s="267">
        <f t="shared" si="5"/>
        <v>65496.090454368459</v>
      </c>
      <c r="R30" s="267">
        <f t="shared" si="5"/>
        <v>57524.868284984994</v>
      </c>
      <c r="S30" s="267">
        <f t="shared" si="5"/>
        <v>52399.166819762118</v>
      </c>
      <c r="T30" s="267">
        <f t="shared" si="5"/>
        <v>61725.684433540431</v>
      </c>
      <c r="U30" s="267">
        <f t="shared" si="5"/>
        <v>64849.258408383648</v>
      </c>
      <c r="V30" s="267">
        <f t="shared" si="5"/>
        <v>70945.129328551964</v>
      </c>
    </row>
    <row r="31" spans="1:25">
      <c r="A31" s="5" t="s">
        <v>131</v>
      </c>
      <c r="B31" s="272">
        <v>0</v>
      </c>
      <c r="C31" s="272">
        <v>0</v>
      </c>
      <c r="D31" s="272">
        <v>0</v>
      </c>
      <c r="E31" s="272">
        <v>0</v>
      </c>
      <c r="F31" s="272">
        <v>0</v>
      </c>
      <c r="G31" s="272">
        <v>0</v>
      </c>
      <c r="H31" s="272">
        <v>0</v>
      </c>
      <c r="I31" s="272">
        <v>0</v>
      </c>
      <c r="J31" s="272">
        <v>0</v>
      </c>
      <c r="K31" s="272">
        <v>0</v>
      </c>
      <c r="L31" s="272">
        <v>0</v>
      </c>
      <c r="M31" s="272">
        <v>0</v>
      </c>
      <c r="N31" s="272">
        <v>0</v>
      </c>
      <c r="O31" s="272">
        <v>0</v>
      </c>
      <c r="P31" s="272">
        <v>0</v>
      </c>
      <c r="Q31" s="272">
        <v>0</v>
      </c>
      <c r="R31" s="272">
        <v>0</v>
      </c>
      <c r="S31" s="272">
        <v>0</v>
      </c>
      <c r="T31" s="272">
        <v>0</v>
      </c>
      <c r="U31" s="272">
        <v>0</v>
      </c>
      <c r="V31" s="272">
        <f>2*V10</f>
        <v>316471.24429065612</v>
      </c>
    </row>
    <row r="32" spans="1:25">
      <c r="A32" s="5" t="s">
        <v>225</v>
      </c>
      <c r="B32" s="180">
        <f t="shared" ref="B32:V32" si="6">SUM(B29:B31)</f>
        <v>-451196.35681568435</v>
      </c>
      <c r="C32" s="180">
        <f t="shared" si="6"/>
        <v>54252.51892134903</v>
      </c>
      <c r="D32" s="180">
        <f t="shared" si="6"/>
        <v>68291.967377408975</v>
      </c>
      <c r="E32" s="180">
        <f t="shared" si="6"/>
        <v>73257.480553171205</v>
      </c>
      <c r="F32" s="180">
        <f t="shared" si="6"/>
        <v>69250.384272298354</v>
      </c>
      <c r="G32" s="180">
        <f t="shared" si="6"/>
        <v>67820.452921432443</v>
      </c>
      <c r="H32" s="180">
        <f t="shared" si="6"/>
        <v>66374.049014075426</v>
      </c>
      <c r="I32" s="180">
        <f t="shared" si="6"/>
        <v>66381.073834513416</v>
      </c>
      <c r="J32" s="180">
        <f t="shared" si="6"/>
        <v>67051.479740599461</v>
      </c>
      <c r="K32" s="180">
        <f t="shared" si="6"/>
        <v>68113.468807598314</v>
      </c>
      <c r="L32" s="180">
        <f t="shared" si="6"/>
        <v>66194.546606738935</v>
      </c>
      <c r="M32" s="180">
        <f t="shared" si="6"/>
        <v>53318.861628648679</v>
      </c>
      <c r="N32" s="180">
        <f t="shared" si="6"/>
        <v>56570.2723057408</v>
      </c>
      <c r="O32" s="180">
        <f t="shared" si="6"/>
        <v>60167.754559973408</v>
      </c>
      <c r="P32" s="180">
        <f t="shared" si="6"/>
        <v>63320.904173314157</v>
      </c>
      <c r="Q32" s="180">
        <f t="shared" si="6"/>
        <v>65496.090454368459</v>
      </c>
      <c r="R32" s="180">
        <f t="shared" si="6"/>
        <v>57524.868284984994</v>
      </c>
      <c r="S32" s="180">
        <f t="shared" si="6"/>
        <v>52399.166819762118</v>
      </c>
      <c r="T32" s="180">
        <f t="shared" si="6"/>
        <v>61725.684433540431</v>
      </c>
      <c r="U32" s="180">
        <f t="shared" si="6"/>
        <v>64849.258408383648</v>
      </c>
      <c r="V32" s="180">
        <f t="shared" si="6"/>
        <v>387416.37361920811</v>
      </c>
    </row>
    <row r="33" spans="1:22">
      <c r="A33" s="5" t="s">
        <v>68</v>
      </c>
      <c r="B33" s="277">
        <f>[2]!_xludf.xirr(B32:V32,B8:V8)</f>
        <v>0.140120667219162</v>
      </c>
      <c r="C33" s="180"/>
      <c r="D33" s="180"/>
      <c r="E33" s="180"/>
      <c r="F33" s="180"/>
      <c r="G33" s="180"/>
      <c r="H33" s="180"/>
      <c r="I33" s="180"/>
      <c r="J33" s="180"/>
      <c r="K33" s="180"/>
      <c r="L33" s="180"/>
      <c r="M33" s="180"/>
      <c r="N33" s="180"/>
      <c r="O33" s="180"/>
      <c r="P33" s="180"/>
      <c r="Q33" s="180"/>
      <c r="R33" s="180"/>
      <c r="S33" s="180"/>
      <c r="T33" s="180"/>
      <c r="U33" s="180"/>
      <c r="V33" s="208"/>
    </row>
  </sheetData>
  <mergeCells count="1">
    <mergeCell ref="X7:Y7"/>
  </mergeCells>
  <pageMargins left="0.75" right="0.75" top="1" bottom="1" header="0.5" footer="0.5"/>
  <pageSetup scale="46" orientation="landscape" r:id="rId1"/>
  <headerFooter alignWithMargins="0">
    <oddHeader>&amp;L&amp;12Enron's Generation&amp;RCONFIDENTIAL</oddHeader>
    <oddFooter>&amp;L&amp;D&amp;C&amp;F&amp;RPage &amp;P</oddFooter>
  </headerFooter>
  <colBreaks count="1" manualBreakCount="1">
    <brk id="12" max="43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69"/>
  <sheetViews>
    <sheetView zoomScaleNormal="75" workbookViewId="0">
      <pane xSplit="1" ySplit="4" topLeftCell="B5" activePane="bottomRight" state="frozen"/>
      <selection pane="topRight"/>
      <selection pane="bottomLeft"/>
      <selection pane="bottomRight" activeCell="B5" sqref="B5"/>
    </sheetView>
  </sheetViews>
  <sheetFormatPr defaultRowHeight="12.75"/>
  <cols>
    <col min="1" max="1" width="30.140625" style="5" customWidth="1"/>
    <col min="2" max="2" width="17.140625" style="279" bestFit="1" customWidth="1"/>
    <col min="3" max="4" width="10.28515625" style="279" bestFit="1" customWidth="1"/>
    <col min="5" max="13" width="10.28515625" style="5" bestFit="1" customWidth="1"/>
    <col min="14" max="22" width="10.140625" style="5" bestFit="1" customWidth="1"/>
    <col min="23" max="23" width="11.7109375" style="5" customWidth="1"/>
    <col min="24" max="24" width="20.7109375" style="5" bestFit="1" customWidth="1"/>
    <col min="25" max="25" width="7.28515625" style="5" bestFit="1" customWidth="1"/>
    <col min="26" max="16384" width="9.140625" style="5"/>
  </cols>
  <sheetData>
    <row r="1" spans="1:22">
      <c r="B1" s="5"/>
      <c r="C1" s="5"/>
      <c r="D1" s="5"/>
    </row>
    <row r="2" spans="1:22" ht="18">
      <c r="A2" s="157" t="s">
        <v>103</v>
      </c>
      <c r="C2" s="280"/>
    </row>
    <row r="3" spans="1:22">
      <c r="E3" s="279"/>
      <c r="F3" s="279"/>
      <c r="G3" s="279"/>
      <c r="H3" s="279"/>
      <c r="I3" s="279"/>
      <c r="J3" s="279"/>
      <c r="K3" s="279"/>
      <c r="L3" s="279"/>
      <c r="M3" s="279"/>
      <c r="N3" s="279"/>
      <c r="O3" s="279"/>
      <c r="P3" s="279"/>
      <c r="Q3" s="279"/>
      <c r="R3" s="279"/>
      <c r="S3" s="279"/>
      <c r="T3" s="279"/>
      <c r="U3" s="279"/>
      <c r="V3" s="279"/>
    </row>
    <row r="4" spans="1:22" s="282" customFormat="1" ht="13.5" thickBot="1">
      <c r="A4" s="162" t="s">
        <v>49</v>
      </c>
      <c r="B4" s="162" t="s">
        <v>92</v>
      </c>
      <c r="C4" s="281">
        <v>37256</v>
      </c>
      <c r="D4" s="281">
        <v>37621</v>
      </c>
      <c r="E4" s="281">
        <v>37986</v>
      </c>
      <c r="F4" s="281">
        <v>38352</v>
      </c>
      <c r="G4" s="281">
        <v>38717</v>
      </c>
      <c r="H4" s="281">
        <v>39082</v>
      </c>
      <c r="I4" s="281">
        <v>39447</v>
      </c>
      <c r="J4" s="281">
        <v>39813</v>
      </c>
      <c r="K4" s="281">
        <v>40178</v>
      </c>
      <c r="L4" s="281">
        <v>40543</v>
      </c>
      <c r="M4" s="281">
        <v>40908</v>
      </c>
      <c r="N4" s="281">
        <v>41274</v>
      </c>
      <c r="O4" s="281">
        <v>41639</v>
      </c>
      <c r="P4" s="281">
        <v>42004</v>
      </c>
      <c r="Q4" s="281">
        <v>42369</v>
      </c>
      <c r="R4" s="281">
        <v>42735</v>
      </c>
      <c r="S4" s="281">
        <v>43100</v>
      </c>
      <c r="T4" s="281">
        <v>43465</v>
      </c>
      <c r="U4" s="281">
        <v>43830</v>
      </c>
      <c r="V4" s="281">
        <v>44196</v>
      </c>
    </row>
    <row r="5" spans="1:22">
      <c r="B5" s="283">
        <v>0</v>
      </c>
      <c r="C5" s="283">
        <v>1</v>
      </c>
      <c r="D5" s="283">
        <v>2</v>
      </c>
      <c r="E5" s="283">
        <f>D5+1</f>
        <v>3</v>
      </c>
      <c r="F5" s="283">
        <f t="shared" ref="F5:V5" si="0">E5+1</f>
        <v>4</v>
      </c>
      <c r="G5" s="283">
        <f t="shared" si="0"/>
        <v>5</v>
      </c>
      <c r="H5" s="283">
        <f t="shared" si="0"/>
        <v>6</v>
      </c>
      <c r="I5" s="283">
        <f t="shared" si="0"/>
        <v>7</v>
      </c>
      <c r="J5" s="283">
        <f t="shared" si="0"/>
        <v>8</v>
      </c>
      <c r="K5" s="283">
        <f t="shared" si="0"/>
        <v>9</v>
      </c>
      <c r="L5" s="283">
        <f t="shared" si="0"/>
        <v>10</v>
      </c>
      <c r="M5" s="283">
        <f t="shared" si="0"/>
        <v>11</v>
      </c>
      <c r="N5" s="283">
        <f t="shared" si="0"/>
        <v>12</v>
      </c>
      <c r="O5" s="283">
        <f t="shared" si="0"/>
        <v>13</v>
      </c>
      <c r="P5" s="283">
        <f t="shared" si="0"/>
        <v>14</v>
      </c>
      <c r="Q5" s="283">
        <f t="shared" si="0"/>
        <v>15</v>
      </c>
      <c r="R5" s="283">
        <f t="shared" si="0"/>
        <v>16</v>
      </c>
      <c r="S5" s="283">
        <f t="shared" si="0"/>
        <v>17</v>
      </c>
      <c r="T5" s="283">
        <f t="shared" si="0"/>
        <v>18</v>
      </c>
      <c r="U5" s="283">
        <f t="shared" si="0"/>
        <v>19</v>
      </c>
      <c r="V5" s="283">
        <f t="shared" si="0"/>
        <v>20</v>
      </c>
    </row>
    <row r="6" spans="1:22" s="1" customFormat="1">
      <c r="A6" s="284" t="s">
        <v>33</v>
      </c>
      <c r="B6" s="283">
        <v>0</v>
      </c>
      <c r="C6" s="283">
        <v>1</v>
      </c>
      <c r="D6" s="283">
        <v>2</v>
      </c>
      <c r="E6" s="283">
        <f>D6+1</f>
        <v>3</v>
      </c>
      <c r="F6" s="283">
        <f t="shared" ref="F6:V6" si="1">E6+1</f>
        <v>4</v>
      </c>
      <c r="G6" s="283">
        <f t="shared" si="1"/>
        <v>5</v>
      </c>
      <c r="H6" s="283">
        <f t="shared" si="1"/>
        <v>6</v>
      </c>
      <c r="I6" s="283">
        <f t="shared" si="1"/>
        <v>7</v>
      </c>
      <c r="J6" s="283">
        <f t="shared" si="1"/>
        <v>8</v>
      </c>
      <c r="K6" s="283">
        <f t="shared" si="1"/>
        <v>9</v>
      </c>
      <c r="L6" s="283">
        <f t="shared" si="1"/>
        <v>10</v>
      </c>
      <c r="M6" s="283">
        <f t="shared" si="1"/>
        <v>11</v>
      </c>
      <c r="N6" s="283">
        <f t="shared" si="1"/>
        <v>12</v>
      </c>
      <c r="O6" s="283">
        <f t="shared" si="1"/>
        <v>13</v>
      </c>
      <c r="P6" s="283">
        <f t="shared" si="1"/>
        <v>14</v>
      </c>
      <c r="Q6" s="283">
        <f t="shared" si="1"/>
        <v>15</v>
      </c>
      <c r="R6" s="283">
        <f t="shared" si="1"/>
        <v>16</v>
      </c>
      <c r="S6" s="283">
        <f t="shared" si="1"/>
        <v>17</v>
      </c>
      <c r="T6" s="283">
        <f t="shared" si="1"/>
        <v>18</v>
      </c>
      <c r="U6" s="283">
        <f t="shared" si="1"/>
        <v>19</v>
      </c>
      <c r="V6" s="283">
        <f t="shared" si="1"/>
        <v>20</v>
      </c>
    </row>
    <row r="7" spans="1:22" s="1" customFormat="1">
      <c r="B7" s="279"/>
      <c r="C7" s="279"/>
      <c r="D7" s="279"/>
      <c r="E7" s="279"/>
      <c r="F7" s="279"/>
      <c r="G7" s="279"/>
      <c r="H7" s="279"/>
      <c r="I7" s="279"/>
      <c r="J7" s="279"/>
      <c r="K7" s="279"/>
      <c r="L7" s="279"/>
      <c r="M7" s="279"/>
      <c r="N7" s="279"/>
      <c r="O7" s="279"/>
      <c r="P7" s="279"/>
      <c r="Q7" s="279"/>
      <c r="R7" s="279"/>
      <c r="S7" s="279"/>
      <c r="T7" s="279"/>
      <c r="U7" s="279"/>
      <c r="V7" s="279"/>
    </row>
    <row r="8" spans="1:22">
      <c r="A8" s="200" t="s">
        <v>91</v>
      </c>
      <c r="B8" s="5"/>
      <c r="C8" s="5"/>
      <c r="D8" s="5"/>
    </row>
    <row r="9" spans="1:22">
      <c r="A9" s="38" t="s">
        <v>93</v>
      </c>
      <c r="B9" s="285">
        <v>0</v>
      </c>
      <c r="C9" s="285">
        <v>12</v>
      </c>
      <c r="D9" s="285">
        <v>12</v>
      </c>
      <c r="E9" s="285">
        <v>12</v>
      </c>
      <c r="F9" s="285">
        <v>12</v>
      </c>
      <c r="G9" s="285">
        <v>12</v>
      </c>
      <c r="H9" s="285">
        <v>12</v>
      </c>
      <c r="I9" s="285">
        <v>12</v>
      </c>
      <c r="J9" s="285">
        <v>12</v>
      </c>
      <c r="K9" s="285">
        <v>12</v>
      </c>
      <c r="L9" s="285">
        <v>12</v>
      </c>
      <c r="M9" s="285">
        <v>12</v>
      </c>
      <c r="N9" s="285">
        <v>12</v>
      </c>
      <c r="O9" s="285">
        <v>12</v>
      </c>
      <c r="P9" s="285">
        <v>12</v>
      </c>
      <c r="Q9" s="285">
        <v>12</v>
      </c>
      <c r="R9" s="285">
        <v>12</v>
      </c>
      <c r="S9" s="285">
        <v>12</v>
      </c>
      <c r="T9" s="285">
        <v>12</v>
      </c>
      <c r="U9" s="285">
        <v>12</v>
      </c>
      <c r="V9" s="285">
        <v>12</v>
      </c>
    </row>
    <row r="10" spans="1:22">
      <c r="A10" s="5" t="s">
        <v>94</v>
      </c>
      <c r="B10" s="286">
        <v>0</v>
      </c>
      <c r="C10" s="286">
        <f>90%/30</f>
        <v>3.0000000000000002E-2</v>
      </c>
      <c r="D10" s="286">
        <f>90%/30</f>
        <v>3.0000000000000002E-2</v>
      </c>
      <c r="E10" s="286">
        <f t="shared" ref="E10:V10" si="2">90%/30</f>
        <v>3.0000000000000002E-2</v>
      </c>
      <c r="F10" s="286">
        <f t="shared" si="2"/>
        <v>3.0000000000000002E-2</v>
      </c>
      <c r="G10" s="286">
        <f t="shared" si="2"/>
        <v>3.0000000000000002E-2</v>
      </c>
      <c r="H10" s="286">
        <f t="shared" si="2"/>
        <v>3.0000000000000002E-2</v>
      </c>
      <c r="I10" s="286">
        <f t="shared" si="2"/>
        <v>3.0000000000000002E-2</v>
      </c>
      <c r="J10" s="286">
        <f t="shared" si="2"/>
        <v>3.0000000000000002E-2</v>
      </c>
      <c r="K10" s="286">
        <f t="shared" si="2"/>
        <v>3.0000000000000002E-2</v>
      </c>
      <c r="L10" s="286">
        <f t="shared" si="2"/>
        <v>3.0000000000000002E-2</v>
      </c>
      <c r="M10" s="286">
        <f t="shared" si="2"/>
        <v>3.0000000000000002E-2</v>
      </c>
      <c r="N10" s="286">
        <f t="shared" si="2"/>
        <v>3.0000000000000002E-2</v>
      </c>
      <c r="O10" s="286">
        <f t="shared" si="2"/>
        <v>3.0000000000000002E-2</v>
      </c>
      <c r="P10" s="286">
        <f t="shared" si="2"/>
        <v>3.0000000000000002E-2</v>
      </c>
      <c r="Q10" s="286">
        <f t="shared" si="2"/>
        <v>3.0000000000000002E-2</v>
      </c>
      <c r="R10" s="286">
        <f t="shared" si="2"/>
        <v>3.0000000000000002E-2</v>
      </c>
      <c r="S10" s="286">
        <f t="shared" si="2"/>
        <v>3.0000000000000002E-2</v>
      </c>
      <c r="T10" s="286">
        <f t="shared" si="2"/>
        <v>3.0000000000000002E-2</v>
      </c>
      <c r="U10" s="286">
        <f t="shared" si="2"/>
        <v>3.0000000000000002E-2</v>
      </c>
      <c r="V10" s="286">
        <f t="shared" si="2"/>
        <v>3.0000000000000002E-2</v>
      </c>
    </row>
    <row r="11" spans="1:22">
      <c r="B11" s="5"/>
      <c r="C11" s="5"/>
      <c r="D11" s="5"/>
    </row>
    <row r="12" spans="1:22">
      <c r="A12" s="5" t="s">
        <v>95</v>
      </c>
      <c r="B12" s="168">
        <f>'Summary Output'!$G$7*Allocation!$C$6</f>
        <v>236812.32233550414</v>
      </c>
      <c r="C12" s="180">
        <f>B14</f>
        <v>236812.32233550414</v>
      </c>
      <c r="D12" s="180">
        <f>C14</f>
        <v>229707.95266543902</v>
      </c>
      <c r="E12" s="180">
        <f t="shared" ref="E12:V12" si="3">D14</f>
        <v>222603.5829953739</v>
      </c>
      <c r="F12" s="180">
        <f t="shared" si="3"/>
        <v>215499.21332530878</v>
      </c>
      <c r="G12" s="180">
        <f t="shared" si="3"/>
        <v>208394.84365524366</v>
      </c>
      <c r="H12" s="180">
        <f t="shared" si="3"/>
        <v>201290.47398517854</v>
      </c>
      <c r="I12" s="180">
        <f t="shared" si="3"/>
        <v>194186.10431511342</v>
      </c>
      <c r="J12" s="180">
        <f t="shared" si="3"/>
        <v>187081.7346450483</v>
      </c>
      <c r="K12" s="180">
        <f t="shared" si="3"/>
        <v>179977.36497498318</v>
      </c>
      <c r="L12" s="180">
        <f t="shared" si="3"/>
        <v>172872.99530491806</v>
      </c>
      <c r="M12" s="180">
        <f t="shared" si="3"/>
        <v>165768.62563485294</v>
      </c>
      <c r="N12" s="180">
        <f t="shared" si="3"/>
        <v>158664.25596478782</v>
      </c>
      <c r="O12" s="180">
        <f t="shared" si="3"/>
        <v>151559.8862947227</v>
      </c>
      <c r="P12" s="180">
        <f t="shared" si="3"/>
        <v>144455.51662465758</v>
      </c>
      <c r="Q12" s="180">
        <f t="shared" si="3"/>
        <v>137351.14695459246</v>
      </c>
      <c r="R12" s="180">
        <f t="shared" si="3"/>
        <v>130246.77728452734</v>
      </c>
      <c r="S12" s="180">
        <f t="shared" si="3"/>
        <v>123142.40761446222</v>
      </c>
      <c r="T12" s="180">
        <f t="shared" si="3"/>
        <v>116038.0379443971</v>
      </c>
      <c r="U12" s="180">
        <f t="shared" si="3"/>
        <v>108933.66827433198</v>
      </c>
      <c r="V12" s="180">
        <f t="shared" si="3"/>
        <v>101829.29860426686</v>
      </c>
    </row>
    <row r="13" spans="1:22">
      <c r="A13" s="5" t="s">
        <v>96</v>
      </c>
      <c r="B13" s="273">
        <f>$B$12*B10</f>
        <v>0</v>
      </c>
      <c r="C13" s="273">
        <f t="shared" ref="C13:V13" si="4">$B$12*C10</f>
        <v>7104.3696700651244</v>
      </c>
      <c r="D13" s="273">
        <f t="shared" si="4"/>
        <v>7104.3696700651244</v>
      </c>
      <c r="E13" s="273">
        <f t="shared" si="4"/>
        <v>7104.3696700651244</v>
      </c>
      <c r="F13" s="273">
        <f t="shared" si="4"/>
        <v>7104.3696700651244</v>
      </c>
      <c r="G13" s="273">
        <f t="shared" si="4"/>
        <v>7104.3696700651244</v>
      </c>
      <c r="H13" s="273">
        <f t="shared" si="4"/>
        <v>7104.3696700651244</v>
      </c>
      <c r="I13" s="273">
        <f t="shared" si="4"/>
        <v>7104.3696700651244</v>
      </c>
      <c r="J13" s="273">
        <f t="shared" si="4"/>
        <v>7104.3696700651244</v>
      </c>
      <c r="K13" s="273">
        <f t="shared" si="4"/>
        <v>7104.3696700651244</v>
      </c>
      <c r="L13" s="273">
        <f t="shared" si="4"/>
        <v>7104.3696700651244</v>
      </c>
      <c r="M13" s="273">
        <f t="shared" si="4"/>
        <v>7104.3696700651244</v>
      </c>
      <c r="N13" s="273">
        <f t="shared" si="4"/>
        <v>7104.3696700651244</v>
      </c>
      <c r="O13" s="273">
        <f t="shared" si="4"/>
        <v>7104.3696700651244</v>
      </c>
      <c r="P13" s="273">
        <f t="shared" si="4"/>
        <v>7104.3696700651244</v>
      </c>
      <c r="Q13" s="273">
        <f t="shared" si="4"/>
        <v>7104.3696700651244</v>
      </c>
      <c r="R13" s="273">
        <f t="shared" si="4"/>
        <v>7104.3696700651244</v>
      </c>
      <c r="S13" s="273">
        <f t="shared" si="4"/>
        <v>7104.3696700651244</v>
      </c>
      <c r="T13" s="273">
        <f t="shared" si="4"/>
        <v>7104.3696700651244</v>
      </c>
      <c r="U13" s="273">
        <f t="shared" si="4"/>
        <v>7104.3696700651244</v>
      </c>
      <c r="V13" s="273">
        <f t="shared" si="4"/>
        <v>7104.3696700651244</v>
      </c>
    </row>
    <row r="14" spans="1:22">
      <c r="A14" s="5" t="s">
        <v>97</v>
      </c>
      <c r="B14" s="180">
        <f>B12-B13</f>
        <v>236812.32233550414</v>
      </c>
      <c r="C14" s="180">
        <f>C12-C13</f>
        <v>229707.95266543902</v>
      </c>
      <c r="D14" s="180">
        <f>D12-D13</f>
        <v>222603.5829953739</v>
      </c>
      <c r="E14" s="180">
        <f t="shared" ref="E14:V14" si="5">E12-E13</f>
        <v>215499.21332530878</v>
      </c>
      <c r="F14" s="180">
        <f t="shared" si="5"/>
        <v>208394.84365524366</v>
      </c>
      <c r="G14" s="180">
        <f t="shared" si="5"/>
        <v>201290.47398517854</v>
      </c>
      <c r="H14" s="180">
        <f t="shared" si="5"/>
        <v>194186.10431511342</v>
      </c>
      <c r="I14" s="180">
        <f t="shared" si="5"/>
        <v>187081.7346450483</v>
      </c>
      <c r="J14" s="180">
        <f t="shared" si="5"/>
        <v>179977.36497498318</v>
      </c>
      <c r="K14" s="180">
        <f t="shared" si="5"/>
        <v>172872.99530491806</v>
      </c>
      <c r="L14" s="180">
        <f t="shared" si="5"/>
        <v>165768.62563485294</v>
      </c>
      <c r="M14" s="180">
        <f t="shared" si="5"/>
        <v>158664.25596478782</v>
      </c>
      <c r="N14" s="180">
        <f t="shared" si="5"/>
        <v>151559.8862947227</v>
      </c>
      <c r="O14" s="180">
        <f t="shared" si="5"/>
        <v>144455.51662465758</v>
      </c>
      <c r="P14" s="180">
        <f t="shared" si="5"/>
        <v>137351.14695459246</v>
      </c>
      <c r="Q14" s="180">
        <f t="shared" si="5"/>
        <v>130246.77728452734</v>
      </c>
      <c r="R14" s="180">
        <f t="shared" si="5"/>
        <v>123142.40761446222</v>
      </c>
      <c r="S14" s="180">
        <f t="shared" si="5"/>
        <v>116038.0379443971</v>
      </c>
      <c r="T14" s="180">
        <f t="shared" si="5"/>
        <v>108933.66827433198</v>
      </c>
      <c r="U14" s="180">
        <f t="shared" si="5"/>
        <v>101829.29860426686</v>
      </c>
      <c r="V14" s="180">
        <f t="shared" si="5"/>
        <v>94724.928934201744</v>
      </c>
    </row>
    <row r="15" spans="1:22">
      <c r="B15" s="5"/>
      <c r="C15" s="5"/>
      <c r="D15" s="5"/>
    </row>
    <row r="16" spans="1:22">
      <c r="A16" s="200" t="s">
        <v>8</v>
      </c>
      <c r="B16" s="5"/>
      <c r="C16" s="5"/>
      <c r="D16" s="5"/>
    </row>
    <row r="17" spans="1:25">
      <c r="A17" s="38" t="s">
        <v>93</v>
      </c>
      <c r="B17" s="285">
        <v>0</v>
      </c>
      <c r="C17" s="285">
        <v>12</v>
      </c>
      <c r="D17" s="285">
        <v>12</v>
      </c>
      <c r="E17" s="285">
        <v>12</v>
      </c>
      <c r="F17" s="285">
        <v>12</v>
      </c>
      <c r="G17" s="285">
        <v>12</v>
      </c>
      <c r="H17" s="285">
        <v>12</v>
      </c>
      <c r="I17" s="285">
        <v>12</v>
      </c>
      <c r="J17" s="285">
        <v>12</v>
      </c>
      <c r="K17" s="285">
        <v>12</v>
      </c>
      <c r="L17" s="285">
        <v>12</v>
      </c>
      <c r="M17" s="285">
        <v>12</v>
      </c>
      <c r="N17" s="285">
        <v>12</v>
      </c>
      <c r="O17" s="285">
        <v>12</v>
      </c>
      <c r="P17" s="285">
        <v>12</v>
      </c>
      <c r="Q17" s="285">
        <v>12</v>
      </c>
      <c r="R17" s="285">
        <v>12</v>
      </c>
      <c r="S17" s="285">
        <v>12</v>
      </c>
      <c r="T17" s="285">
        <v>12</v>
      </c>
      <c r="U17" s="285">
        <v>12</v>
      </c>
      <c r="V17" s="285">
        <v>12</v>
      </c>
    </row>
    <row r="18" spans="1:25">
      <c r="A18" s="5" t="s">
        <v>94</v>
      </c>
      <c r="B18" s="286">
        <v>0</v>
      </c>
      <c r="C18" s="286">
        <f>90%/30</f>
        <v>3.0000000000000002E-2</v>
      </c>
      <c r="D18" s="286">
        <f>90%/30</f>
        <v>3.0000000000000002E-2</v>
      </c>
      <c r="E18" s="286">
        <f t="shared" ref="E18:V18" si="6">90%/30</f>
        <v>3.0000000000000002E-2</v>
      </c>
      <c r="F18" s="286">
        <f t="shared" si="6"/>
        <v>3.0000000000000002E-2</v>
      </c>
      <c r="G18" s="286">
        <f t="shared" si="6"/>
        <v>3.0000000000000002E-2</v>
      </c>
      <c r="H18" s="286">
        <f t="shared" si="6"/>
        <v>3.0000000000000002E-2</v>
      </c>
      <c r="I18" s="286">
        <f t="shared" si="6"/>
        <v>3.0000000000000002E-2</v>
      </c>
      <c r="J18" s="286">
        <f t="shared" si="6"/>
        <v>3.0000000000000002E-2</v>
      </c>
      <c r="K18" s="286">
        <f t="shared" si="6"/>
        <v>3.0000000000000002E-2</v>
      </c>
      <c r="L18" s="286">
        <f t="shared" si="6"/>
        <v>3.0000000000000002E-2</v>
      </c>
      <c r="M18" s="286">
        <f t="shared" si="6"/>
        <v>3.0000000000000002E-2</v>
      </c>
      <c r="N18" s="286">
        <f t="shared" si="6"/>
        <v>3.0000000000000002E-2</v>
      </c>
      <c r="O18" s="286">
        <f t="shared" si="6"/>
        <v>3.0000000000000002E-2</v>
      </c>
      <c r="P18" s="286">
        <f t="shared" si="6"/>
        <v>3.0000000000000002E-2</v>
      </c>
      <c r="Q18" s="286">
        <f t="shared" si="6"/>
        <v>3.0000000000000002E-2</v>
      </c>
      <c r="R18" s="286">
        <f t="shared" si="6"/>
        <v>3.0000000000000002E-2</v>
      </c>
      <c r="S18" s="286">
        <f t="shared" si="6"/>
        <v>3.0000000000000002E-2</v>
      </c>
      <c r="T18" s="286">
        <f t="shared" si="6"/>
        <v>3.0000000000000002E-2</v>
      </c>
      <c r="U18" s="286">
        <f t="shared" si="6"/>
        <v>3.0000000000000002E-2</v>
      </c>
      <c r="V18" s="286">
        <f t="shared" si="6"/>
        <v>3.0000000000000002E-2</v>
      </c>
    </row>
    <row r="19" spans="1:25">
      <c r="B19" s="5"/>
      <c r="C19" s="5"/>
      <c r="D19" s="5"/>
      <c r="X19" s="287" t="s">
        <v>75</v>
      </c>
      <c r="Y19" s="288"/>
    </row>
    <row r="20" spans="1:25">
      <c r="A20" s="5" t="s">
        <v>95</v>
      </c>
      <c r="B20" s="168">
        <f>'Summary Output'!$G$7*Allocation!$C$7</f>
        <v>216621.99178904583</v>
      </c>
      <c r="C20" s="180">
        <f>B22</f>
        <v>216621.99178904583</v>
      </c>
      <c r="D20" s="180">
        <f>C22</f>
        <v>210123.33203537445</v>
      </c>
      <c r="E20" s="180">
        <f t="shared" ref="E20:V20" si="7">D22</f>
        <v>203624.67228170307</v>
      </c>
      <c r="F20" s="180">
        <f t="shared" si="7"/>
        <v>197126.01252803169</v>
      </c>
      <c r="G20" s="180">
        <f t="shared" si="7"/>
        <v>190627.3527743603</v>
      </c>
      <c r="H20" s="180">
        <f t="shared" si="7"/>
        <v>184128.69302068892</v>
      </c>
      <c r="I20" s="180">
        <f t="shared" si="7"/>
        <v>177630.03326701754</v>
      </c>
      <c r="J20" s="180">
        <f t="shared" si="7"/>
        <v>171131.37351334616</v>
      </c>
      <c r="K20" s="180">
        <f t="shared" si="7"/>
        <v>164632.71375967478</v>
      </c>
      <c r="L20" s="180">
        <f t="shared" si="7"/>
        <v>158134.0540060034</v>
      </c>
      <c r="M20" s="180">
        <f t="shared" si="7"/>
        <v>151635.39425233201</v>
      </c>
      <c r="N20" s="180">
        <f t="shared" si="7"/>
        <v>145136.73449866063</v>
      </c>
      <c r="O20" s="180">
        <f t="shared" si="7"/>
        <v>138638.07474498925</v>
      </c>
      <c r="P20" s="180">
        <f t="shared" si="7"/>
        <v>132139.41499131787</v>
      </c>
      <c r="Q20" s="180">
        <f t="shared" si="7"/>
        <v>125640.75523764649</v>
      </c>
      <c r="R20" s="180">
        <f t="shared" si="7"/>
        <v>119142.09548397511</v>
      </c>
      <c r="S20" s="180">
        <f t="shared" si="7"/>
        <v>112643.43573030372</v>
      </c>
      <c r="T20" s="180">
        <f t="shared" si="7"/>
        <v>106144.77597663234</v>
      </c>
      <c r="U20" s="180">
        <f t="shared" si="7"/>
        <v>99646.116222960962</v>
      </c>
      <c r="V20" s="180">
        <f t="shared" si="7"/>
        <v>93147.45646928958</v>
      </c>
      <c r="X20" s="289"/>
      <c r="Y20" s="290"/>
    </row>
    <row r="21" spans="1:25">
      <c r="A21" s="5" t="s">
        <v>96</v>
      </c>
      <c r="B21" s="273">
        <f t="shared" ref="B21:V21" si="8">$B$20*B18</f>
        <v>0</v>
      </c>
      <c r="C21" s="273">
        <f t="shared" si="8"/>
        <v>6498.6597536713753</v>
      </c>
      <c r="D21" s="273">
        <f t="shared" si="8"/>
        <v>6498.6597536713753</v>
      </c>
      <c r="E21" s="273">
        <f t="shared" si="8"/>
        <v>6498.6597536713753</v>
      </c>
      <c r="F21" s="273">
        <f t="shared" si="8"/>
        <v>6498.6597536713753</v>
      </c>
      <c r="G21" s="273">
        <f t="shared" si="8"/>
        <v>6498.6597536713753</v>
      </c>
      <c r="H21" s="273">
        <f t="shared" si="8"/>
        <v>6498.6597536713753</v>
      </c>
      <c r="I21" s="273">
        <f t="shared" si="8"/>
        <v>6498.6597536713753</v>
      </c>
      <c r="J21" s="273">
        <f t="shared" si="8"/>
        <v>6498.6597536713753</v>
      </c>
      <c r="K21" s="273">
        <f t="shared" si="8"/>
        <v>6498.6597536713753</v>
      </c>
      <c r="L21" s="273">
        <f t="shared" si="8"/>
        <v>6498.6597536713753</v>
      </c>
      <c r="M21" s="273">
        <f t="shared" si="8"/>
        <v>6498.6597536713753</v>
      </c>
      <c r="N21" s="273">
        <f t="shared" si="8"/>
        <v>6498.6597536713753</v>
      </c>
      <c r="O21" s="273">
        <f t="shared" si="8"/>
        <v>6498.6597536713753</v>
      </c>
      <c r="P21" s="273">
        <f t="shared" si="8"/>
        <v>6498.6597536713753</v>
      </c>
      <c r="Q21" s="273">
        <f t="shared" si="8"/>
        <v>6498.6597536713753</v>
      </c>
      <c r="R21" s="273">
        <f t="shared" si="8"/>
        <v>6498.6597536713753</v>
      </c>
      <c r="S21" s="273">
        <f t="shared" si="8"/>
        <v>6498.6597536713753</v>
      </c>
      <c r="T21" s="273">
        <f t="shared" si="8"/>
        <v>6498.6597536713753</v>
      </c>
      <c r="U21" s="273">
        <f t="shared" si="8"/>
        <v>6498.6597536713753</v>
      </c>
      <c r="V21" s="273">
        <f t="shared" si="8"/>
        <v>6498.6597536713753</v>
      </c>
      <c r="X21" s="291">
        <v>0</v>
      </c>
      <c r="Y21" s="292">
        <v>0</v>
      </c>
    </row>
    <row r="22" spans="1:25">
      <c r="A22" s="5" t="s">
        <v>97</v>
      </c>
      <c r="B22" s="180">
        <f>B20-B21</f>
        <v>216621.99178904583</v>
      </c>
      <c r="C22" s="180">
        <f t="shared" ref="C22:V22" si="9">C20-C21</f>
        <v>210123.33203537445</v>
      </c>
      <c r="D22" s="180">
        <f t="shared" si="9"/>
        <v>203624.67228170307</v>
      </c>
      <c r="E22" s="180">
        <f t="shared" si="9"/>
        <v>197126.01252803169</v>
      </c>
      <c r="F22" s="180">
        <f t="shared" si="9"/>
        <v>190627.3527743603</v>
      </c>
      <c r="G22" s="180">
        <f t="shared" si="9"/>
        <v>184128.69302068892</v>
      </c>
      <c r="H22" s="180">
        <f t="shared" si="9"/>
        <v>177630.03326701754</v>
      </c>
      <c r="I22" s="180">
        <f t="shared" si="9"/>
        <v>171131.37351334616</v>
      </c>
      <c r="J22" s="180">
        <f t="shared" si="9"/>
        <v>164632.71375967478</v>
      </c>
      <c r="K22" s="180">
        <f t="shared" si="9"/>
        <v>158134.0540060034</v>
      </c>
      <c r="L22" s="180">
        <f t="shared" si="9"/>
        <v>151635.39425233201</v>
      </c>
      <c r="M22" s="180">
        <f t="shared" si="9"/>
        <v>145136.73449866063</v>
      </c>
      <c r="N22" s="180">
        <f t="shared" si="9"/>
        <v>138638.07474498925</v>
      </c>
      <c r="O22" s="180">
        <f t="shared" si="9"/>
        <v>132139.41499131787</v>
      </c>
      <c r="P22" s="180">
        <f t="shared" si="9"/>
        <v>125640.75523764649</v>
      </c>
      <c r="Q22" s="180">
        <f t="shared" si="9"/>
        <v>119142.09548397511</v>
      </c>
      <c r="R22" s="180">
        <f t="shared" si="9"/>
        <v>112643.43573030372</v>
      </c>
      <c r="S22" s="180">
        <f t="shared" si="9"/>
        <v>106144.77597663234</v>
      </c>
      <c r="T22" s="180">
        <f t="shared" si="9"/>
        <v>99646.116222960962</v>
      </c>
      <c r="U22" s="180">
        <f t="shared" si="9"/>
        <v>93147.45646928958</v>
      </c>
      <c r="V22" s="180">
        <f t="shared" si="9"/>
        <v>86648.796715618199</v>
      </c>
      <c r="X22" s="291">
        <v>1</v>
      </c>
      <c r="Y22" s="292">
        <v>0.05</v>
      </c>
    </row>
    <row r="23" spans="1:25">
      <c r="B23" s="5"/>
      <c r="C23" s="5"/>
      <c r="D23" s="5"/>
      <c r="X23" s="291">
        <v>2</v>
      </c>
      <c r="Y23" s="292">
        <v>9.5000000000000001E-2</v>
      </c>
    </row>
    <row r="24" spans="1:25">
      <c r="A24" s="200" t="s">
        <v>9</v>
      </c>
      <c r="B24" s="5"/>
      <c r="C24" s="5"/>
      <c r="D24" s="5"/>
      <c r="X24" s="291">
        <v>3</v>
      </c>
      <c r="Y24" s="292">
        <v>8.5500000000000007E-2</v>
      </c>
    </row>
    <row r="25" spans="1:25">
      <c r="A25" s="38" t="s">
        <v>93</v>
      </c>
      <c r="B25" s="285">
        <v>0</v>
      </c>
      <c r="C25" s="285">
        <v>12</v>
      </c>
      <c r="D25" s="285">
        <v>12</v>
      </c>
      <c r="E25" s="285">
        <v>12</v>
      </c>
      <c r="F25" s="285">
        <v>12</v>
      </c>
      <c r="G25" s="285">
        <v>12</v>
      </c>
      <c r="H25" s="285">
        <v>12</v>
      </c>
      <c r="I25" s="285">
        <v>12</v>
      </c>
      <c r="J25" s="285">
        <v>12</v>
      </c>
      <c r="K25" s="285">
        <v>12</v>
      </c>
      <c r="L25" s="285">
        <v>12</v>
      </c>
      <c r="M25" s="285">
        <v>12</v>
      </c>
      <c r="N25" s="285">
        <v>12</v>
      </c>
      <c r="O25" s="285">
        <v>12</v>
      </c>
      <c r="P25" s="285">
        <v>12</v>
      </c>
      <c r="Q25" s="285">
        <v>12</v>
      </c>
      <c r="R25" s="285">
        <v>12</v>
      </c>
      <c r="S25" s="285">
        <v>12</v>
      </c>
      <c r="T25" s="285">
        <v>12</v>
      </c>
      <c r="U25" s="285">
        <v>12</v>
      </c>
      <c r="V25" s="285">
        <v>12</v>
      </c>
      <c r="X25" s="291">
        <v>4</v>
      </c>
      <c r="Y25" s="292">
        <v>7.6999999999999999E-2</v>
      </c>
    </row>
    <row r="26" spans="1:25">
      <c r="A26" s="5" t="s">
        <v>94</v>
      </c>
      <c r="B26" s="286">
        <v>0</v>
      </c>
      <c r="C26" s="286">
        <f>90%/30</f>
        <v>3.0000000000000002E-2</v>
      </c>
      <c r="D26" s="286">
        <f>90%/30</f>
        <v>3.0000000000000002E-2</v>
      </c>
      <c r="E26" s="286">
        <f t="shared" ref="E26:V26" si="10">90%/30</f>
        <v>3.0000000000000002E-2</v>
      </c>
      <c r="F26" s="286">
        <f t="shared" si="10"/>
        <v>3.0000000000000002E-2</v>
      </c>
      <c r="G26" s="286">
        <f t="shared" si="10"/>
        <v>3.0000000000000002E-2</v>
      </c>
      <c r="H26" s="286">
        <f t="shared" si="10"/>
        <v>3.0000000000000002E-2</v>
      </c>
      <c r="I26" s="286">
        <f t="shared" si="10"/>
        <v>3.0000000000000002E-2</v>
      </c>
      <c r="J26" s="286">
        <f t="shared" si="10"/>
        <v>3.0000000000000002E-2</v>
      </c>
      <c r="K26" s="286">
        <f t="shared" si="10"/>
        <v>3.0000000000000002E-2</v>
      </c>
      <c r="L26" s="286">
        <f t="shared" si="10"/>
        <v>3.0000000000000002E-2</v>
      </c>
      <c r="M26" s="286">
        <f t="shared" si="10"/>
        <v>3.0000000000000002E-2</v>
      </c>
      <c r="N26" s="286">
        <f t="shared" si="10"/>
        <v>3.0000000000000002E-2</v>
      </c>
      <c r="O26" s="286">
        <f t="shared" si="10"/>
        <v>3.0000000000000002E-2</v>
      </c>
      <c r="P26" s="286">
        <f t="shared" si="10"/>
        <v>3.0000000000000002E-2</v>
      </c>
      <c r="Q26" s="286">
        <f t="shared" si="10"/>
        <v>3.0000000000000002E-2</v>
      </c>
      <c r="R26" s="286">
        <f t="shared" si="10"/>
        <v>3.0000000000000002E-2</v>
      </c>
      <c r="S26" s="286">
        <f t="shared" si="10"/>
        <v>3.0000000000000002E-2</v>
      </c>
      <c r="T26" s="286">
        <f t="shared" si="10"/>
        <v>3.0000000000000002E-2</v>
      </c>
      <c r="U26" s="286">
        <f t="shared" si="10"/>
        <v>3.0000000000000002E-2</v>
      </c>
      <c r="V26" s="286">
        <f t="shared" si="10"/>
        <v>3.0000000000000002E-2</v>
      </c>
      <c r="X26" s="291">
        <v>5</v>
      </c>
      <c r="Y26" s="292">
        <v>6.93E-2</v>
      </c>
    </row>
    <row r="27" spans="1:25">
      <c r="B27" s="5"/>
      <c r="C27" s="5"/>
      <c r="D27" s="5"/>
      <c r="X27" s="291">
        <v>6</v>
      </c>
      <c r="Y27" s="292">
        <v>6.2300000000000001E-2</v>
      </c>
    </row>
    <row r="28" spans="1:25">
      <c r="A28" s="5" t="s">
        <v>95</v>
      </c>
      <c r="B28" s="168">
        <f>'Summary Output'!$G$7*Allocation!$C$8</f>
        <v>348762.0426911345</v>
      </c>
      <c r="C28" s="180">
        <f>B30</f>
        <v>348762.0426911345</v>
      </c>
      <c r="D28" s="180">
        <f>C30</f>
        <v>338299.18141040049</v>
      </c>
      <c r="E28" s="180">
        <f t="shared" ref="E28:V28" si="11">D30</f>
        <v>327836.32012966648</v>
      </c>
      <c r="F28" s="180">
        <f t="shared" si="11"/>
        <v>317373.45884893247</v>
      </c>
      <c r="G28" s="180">
        <f t="shared" si="11"/>
        <v>306910.59756819846</v>
      </c>
      <c r="H28" s="180">
        <f t="shared" si="11"/>
        <v>296447.73628746445</v>
      </c>
      <c r="I28" s="180">
        <f t="shared" si="11"/>
        <v>285984.87500673044</v>
      </c>
      <c r="J28" s="180">
        <f t="shared" si="11"/>
        <v>275522.01372599642</v>
      </c>
      <c r="K28" s="180">
        <f t="shared" si="11"/>
        <v>265059.15244526241</v>
      </c>
      <c r="L28" s="180">
        <f t="shared" si="11"/>
        <v>254596.29116452837</v>
      </c>
      <c r="M28" s="180">
        <f t="shared" si="11"/>
        <v>244133.42988379434</v>
      </c>
      <c r="N28" s="180">
        <f t="shared" si="11"/>
        <v>233670.5686030603</v>
      </c>
      <c r="O28" s="180">
        <f t="shared" si="11"/>
        <v>223207.70732232626</v>
      </c>
      <c r="P28" s="180">
        <f t="shared" si="11"/>
        <v>212744.84604159222</v>
      </c>
      <c r="Q28" s="180">
        <f t="shared" si="11"/>
        <v>202281.98476085818</v>
      </c>
      <c r="R28" s="180">
        <f t="shared" si="11"/>
        <v>191819.12348012414</v>
      </c>
      <c r="S28" s="180">
        <f t="shared" si="11"/>
        <v>181356.2621993901</v>
      </c>
      <c r="T28" s="180">
        <f t="shared" si="11"/>
        <v>170893.40091865606</v>
      </c>
      <c r="U28" s="180">
        <f t="shared" si="11"/>
        <v>160430.53963792202</v>
      </c>
      <c r="V28" s="180">
        <f t="shared" si="11"/>
        <v>149967.67835718798</v>
      </c>
      <c r="X28" s="291">
        <v>7</v>
      </c>
      <c r="Y28" s="292">
        <v>5.8999999999999997E-2</v>
      </c>
    </row>
    <row r="29" spans="1:25">
      <c r="A29" s="5" t="s">
        <v>96</v>
      </c>
      <c r="B29" s="273">
        <f t="shared" ref="B29:V29" si="12">$B$28*B26</f>
        <v>0</v>
      </c>
      <c r="C29" s="273">
        <f t="shared" si="12"/>
        <v>10462.861280734036</v>
      </c>
      <c r="D29" s="273">
        <f t="shared" si="12"/>
        <v>10462.861280734036</v>
      </c>
      <c r="E29" s="273">
        <f t="shared" si="12"/>
        <v>10462.861280734036</v>
      </c>
      <c r="F29" s="273">
        <f t="shared" si="12"/>
        <v>10462.861280734036</v>
      </c>
      <c r="G29" s="273">
        <f t="shared" si="12"/>
        <v>10462.861280734036</v>
      </c>
      <c r="H29" s="273">
        <f t="shared" si="12"/>
        <v>10462.861280734036</v>
      </c>
      <c r="I29" s="273">
        <f t="shared" si="12"/>
        <v>10462.861280734036</v>
      </c>
      <c r="J29" s="273">
        <f t="shared" si="12"/>
        <v>10462.861280734036</v>
      </c>
      <c r="K29" s="273">
        <f t="shared" si="12"/>
        <v>10462.861280734036</v>
      </c>
      <c r="L29" s="273">
        <f t="shared" si="12"/>
        <v>10462.861280734036</v>
      </c>
      <c r="M29" s="273">
        <f t="shared" si="12"/>
        <v>10462.861280734036</v>
      </c>
      <c r="N29" s="273">
        <f t="shared" si="12"/>
        <v>10462.861280734036</v>
      </c>
      <c r="O29" s="273">
        <f t="shared" si="12"/>
        <v>10462.861280734036</v>
      </c>
      <c r="P29" s="273">
        <f t="shared" si="12"/>
        <v>10462.861280734036</v>
      </c>
      <c r="Q29" s="273">
        <f t="shared" si="12"/>
        <v>10462.861280734036</v>
      </c>
      <c r="R29" s="273">
        <f t="shared" si="12"/>
        <v>10462.861280734036</v>
      </c>
      <c r="S29" s="273">
        <f t="shared" si="12"/>
        <v>10462.861280734036</v>
      </c>
      <c r="T29" s="273">
        <f t="shared" si="12"/>
        <v>10462.861280734036</v>
      </c>
      <c r="U29" s="273">
        <f t="shared" si="12"/>
        <v>10462.861280734036</v>
      </c>
      <c r="V29" s="273">
        <f t="shared" si="12"/>
        <v>10462.861280734036</v>
      </c>
      <c r="X29" s="291">
        <v>8</v>
      </c>
      <c r="Y29" s="292">
        <v>5.91E-2</v>
      </c>
    </row>
    <row r="30" spans="1:25">
      <c r="A30" s="5" t="s">
        <v>97</v>
      </c>
      <c r="B30" s="180">
        <f>B28-B29</f>
        <v>348762.0426911345</v>
      </c>
      <c r="C30" s="180">
        <f t="shared" ref="C30:V30" si="13">C28-C29</f>
        <v>338299.18141040049</v>
      </c>
      <c r="D30" s="180">
        <f t="shared" si="13"/>
        <v>327836.32012966648</v>
      </c>
      <c r="E30" s="180">
        <f t="shared" si="13"/>
        <v>317373.45884893247</v>
      </c>
      <c r="F30" s="180">
        <f t="shared" si="13"/>
        <v>306910.59756819846</v>
      </c>
      <c r="G30" s="180">
        <f t="shared" si="13"/>
        <v>296447.73628746445</v>
      </c>
      <c r="H30" s="180">
        <f t="shared" si="13"/>
        <v>285984.87500673044</v>
      </c>
      <c r="I30" s="180">
        <f t="shared" si="13"/>
        <v>275522.01372599642</v>
      </c>
      <c r="J30" s="180">
        <f t="shared" si="13"/>
        <v>265059.15244526241</v>
      </c>
      <c r="K30" s="180">
        <f t="shared" si="13"/>
        <v>254596.29116452837</v>
      </c>
      <c r="L30" s="180">
        <f t="shared" si="13"/>
        <v>244133.42988379434</v>
      </c>
      <c r="M30" s="180">
        <f t="shared" si="13"/>
        <v>233670.5686030603</v>
      </c>
      <c r="N30" s="180">
        <f t="shared" si="13"/>
        <v>223207.70732232626</v>
      </c>
      <c r="O30" s="180">
        <f t="shared" si="13"/>
        <v>212744.84604159222</v>
      </c>
      <c r="P30" s="180">
        <f t="shared" si="13"/>
        <v>202281.98476085818</v>
      </c>
      <c r="Q30" s="180">
        <f t="shared" si="13"/>
        <v>191819.12348012414</v>
      </c>
      <c r="R30" s="180">
        <f t="shared" si="13"/>
        <v>181356.2621993901</v>
      </c>
      <c r="S30" s="180">
        <f t="shared" si="13"/>
        <v>170893.40091865606</v>
      </c>
      <c r="T30" s="180">
        <f t="shared" si="13"/>
        <v>160430.53963792202</v>
      </c>
      <c r="U30" s="180">
        <f t="shared" si="13"/>
        <v>149967.67835718798</v>
      </c>
      <c r="V30" s="180">
        <f t="shared" si="13"/>
        <v>139504.81707645394</v>
      </c>
      <c r="X30" s="291">
        <v>9</v>
      </c>
      <c r="Y30" s="292">
        <v>5.8999999999999997E-2</v>
      </c>
    </row>
    <row r="31" spans="1:25">
      <c r="B31" s="5"/>
      <c r="C31" s="5"/>
      <c r="D31" s="5"/>
      <c r="X31" s="291">
        <v>10</v>
      </c>
      <c r="Y31" s="292">
        <v>5.91E-2</v>
      </c>
    </row>
    <row r="32" spans="1:25">
      <c r="A32" s="200" t="s">
        <v>98</v>
      </c>
      <c r="B32" s="5"/>
      <c r="C32" s="5"/>
      <c r="D32" s="5"/>
      <c r="X32" s="291">
        <v>11</v>
      </c>
      <c r="Y32" s="292">
        <v>5.8999999999999997E-2</v>
      </c>
    </row>
    <row r="33" spans="1:25">
      <c r="A33" s="5" t="s">
        <v>95</v>
      </c>
      <c r="B33" s="293">
        <f>SUM(B20,B28,B12)</f>
        <v>802196.35681568447</v>
      </c>
      <c r="C33" s="293">
        <f>B35</f>
        <v>802196.35681568447</v>
      </c>
      <c r="D33" s="293">
        <f t="shared" ref="D33:V33" si="14">C35</f>
        <v>778130.4661112139</v>
      </c>
      <c r="E33" s="293">
        <f t="shared" si="14"/>
        <v>754064.57540674333</v>
      </c>
      <c r="F33" s="293">
        <f t="shared" si="14"/>
        <v>729998.68470227276</v>
      </c>
      <c r="G33" s="293">
        <f t="shared" si="14"/>
        <v>705932.79399780219</v>
      </c>
      <c r="H33" s="293">
        <f t="shared" si="14"/>
        <v>681866.90329333162</v>
      </c>
      <c r="I33" s="293">
        <f t="shared" si="14"/>
        <v>657801.01258886105</v>
      </c>
      <c r="J33" s="293">
        <f t="shared" si="14"/>
        <v>633735.12188439048</v>
      </c>
      <c r="K33" s="293">
        <f t="shared" si="14"/>
        <v>609669.23117991991</v>
      </c>
      <c r="L33" s="293">
        <f t="shared" si="14"/>
        <v>585603.34047544934</v>
      </c>
      <c r="M33" s="293">
        <f t="shared" si="14"/>
        <v>561537.44977097877</v>
      </c>
      <c r="N33" s="293">
        <f t="shared" si="14"/>
        <v>537471.5590665082</v>
      </c>
      <c r="O33" s="293">
        <f t="shared" si="14"/>
        <v>513405.66836203769</v>
      </c>
      <c r="P33" s="293">
        <f t="shared" si="14"/>
        <v>489339.77765756717</v>
      </c>
      <c r="Q33" s="293">
        <f t="shared" si="14"/>
        <v>465273.88695309666</v>
      </c>
      <c r="R33" s="293">
        <f t="shared" si="14"/>
        <v>441207.99624862615</v>
      </c>
      <c r="S33" s="293">
        <f t="shared" si="14"/>
        <v>417142.10554415564</v>
      </c>
      <c r="T33" s="293">
        <f t="shared" si="14"/>
        <v>393076.21483968513</v>
      </c>
      <c r="U33" s="293">
        <f t="shared" si="14"/>
        <v>369010.32413521461</v>
      </c>
      <c r="V33" s="293">
        <f t="shared" si="14"/>
        <v>344944.4334307441</v>
      </c>
      <c r="X33" s="291">
        <v>12</v>
      </c>
      <c r="Y33" s="292">
        <v>5.91E-2</v>
      </c>
    </row>
    <row r="34" spans="1:25">
      <c r="A34" s="5" t="s">
        <v>96</v>
      </c>
      <c r="B34" s="294">
        <f>SUM(B21,B29,B13)</f>
        <v>0</v>
      </c>
      <c r="C34" s="294">
        <f t="shared" ref="C34:V34" si="15">SUM(C21,C29,C13)</f>
        <v>24065.890704470534</v>
      </c>
      <c r="D34" s="294">
        <f t="shared" si="15"/>
        <v>24065.890704470534</v>
      </c>
      <c r="E34" s="294">
        <f t="shared" si="15"/>
        <v>24065.890704470534</v>
      </c>
      <c r="F34" s="294">
        <f t="shared" si="15"/>
        <v>24065.890704470534</v>
      </c>
      <c r="G34" s="294">
        <f t="shared" si="15"/>
        <v>24065.890704470534</v>
      </c>
      <c r="H34" s="294">
        <f t="shared" si="15"/>
        <v>24065.890704470534</v>
      </c>
      <c r="I34" s="294">
        <f t="shared" si="15"/>
        <v>24065.890704470534</v>
      </c>
      <c r="J34" s="294">
        <f t="shared" si="15"/>
        <v>24065.890704470534</v>
      </c>
      <c r="K34" s="294">
        <f t="shared" si="15"/>
        <v>24065.890704470534</v>
      </c>
      <c r="L34" s="294">
        <f t="shared" si="15"/>
        <v>24065.890704470534</v>
      </c>
      <c r="M34" s="294">
        <f t="shared" si="15"/>
        <v>24065.890704470534</v>
      </c>
      <c r="N34" s="294">
        <f t="shared" si="15"/>
        <v>24065.890704470534</v>
      </c>
      <c r="O34" s="294">
        <f t="shared" si="15"/>
        <v>24065.890704470534</v>
      </c>
      <c r="P34" s="294">
        <f t="shared" si="15"/>
        <v>24065.890704470534</v>
      </c>
      <c r="Q34" s="294">
        <f t="shared" si="15"/>
        <v>24065.890704470534</v>
      </c>
      <c r="R34" s="294">
        <f t="shared" si="15"/>
        <v>24065.890704470534</v>
      </c>
      <c r="S34" s="294">
        <f t="shared" si="15"/>
        <v>24065.890704470534</v>
      </c>
      <c r="T34" s="294">
        <f t="shared" si="15"/>
        <v>24065.890704470534</v>
      </c>
      <c r="U34" s="294">
        <f t="shared" si="15"/>
        <v>24065.890704470534</v>
      </c>
      <c r="V34" s="294">
        <f t="shared" si="15"/>
        <v>24065.890704470534</v>
      </c>
      <c r="X34" s="291">
        <v>13</v>
      </c>
      <c r="Y34" s="292">
        <v>5.8999999999999997E-2</v>
      </c>
    </row>
    <row r="35" spans="1:25">
      <c r="A35" s="5" t="s">
        <v>97</v>
      </c>
      <c r="B35" s="293">
        <f>B33-B34</f>
        <v>802196.35681568447</v>
      </c>
      <c r="C35" s="293">
        <f t="shared" ref="C35:V35" si="16">C33-C34</f>
        <v>778130.4661112139</v>
      </c>
      <c r="D35" s="293">
        <f t="shared" si="16"/>
        <v>754064.57540674333</v>
      </c>
      <c r="E35" s="293">
        <f t="shared" si="16"/>
        <v>729998.68470227276</v>
      </c>
      <c r="F35" s="293">
        <f t="shared" si="16"/>
        <v>705932.79399780219</v>
      </c>
      <c r="G35" s="293">
        <f t="shared" si="16"/>
        <v>681866.90329333162</v>
      </c>
      <c r="H35" s="293">
        <f t="shared" si="16"/>
        <v>657801.01258886105</v>
      </c>
      <c r="I35" s="293">
        <f t="shared" si="16"/>
        <v>633735.12188439048</v>
      </c>
      <c r="J35" s="293">
        <f t="shared" si="16"/>
        <v>609669.23117991991</v>
      </c>
      <c r="K35" s="293">
        <f t="shared" si="16"/>
        <v>585603.34047544934</v>
      </c>
      <c r="L35" s="293">
        <f t="shared" si="16"/>
        <v>561537.44977097877</v>
      </c>
      <c r="M35" s="293">
        <f t="shared" si="16"/>
        <v>537471.5590665082</v>
      </c>
      <c r="N35" s="293">
        <f t="shared" si="16"/>
        <v>513405.66836203769</v>
      </c>
      <c r="O35" s="293">
        <f t="shared" si="16"/>
        <v>489339.77765756717</v>
      </c>
      <c r="P35" s="293">
        <f t="shared" si="16"/>
        <v>465273.88695309666</v>
      </c>
      <c r="Q35" s="293">
        <f t="shared" si="16"/>
        <v>441207.99624862615</v>
      </c>
      <c r="R35" s="293">
        <f t="shared" si="16"/>
        <v>417142.10554415564</v>
      </c>
      <c r="S35" s="293">
        <f t="shared" si="16"/>
        <v>393076.21483968513</v>
      </c>
      <c r="T35" s="293">
        <f t="shared" si="16"/>
        <v>369010.32413521461</v>
      </c>
      <c r="U35" s="293">
        <f t="shared" si="16"/>
        <v>344944.4334307441</v>
      </c>
      <c r="V35" s="293">
        <f t="shared" si="16"/>
        <v>320878.54272627359</v>
      </c>
      <c r="X35" s="291">
        <v>14</v>
      </c>
      <c r="Y35" s="292">
        <v>5.91E-2</v>
      </c>
    </row>
    <row r="36" spans="1:25">
      <c r="B36" s="295"/>
      <c r="C36" s="5"/>
      <c r="D36" s="5"/>
      <c r="V36" s="296"/>
      <c r="X36" s="291">
        <v>15</v>
      </c>
      <c r="Y36" s="292">
        <v>5.8999999999999997E-2</v>
      </c>
    </row>
    <row r="37" spans="1:25">
      <c r="B37" s="5"/>
      <c r="C37" s="5"/>
      <c r="D37" s="5"/>
      <c r="X37" s="291">
        <v>16</v>
      </c>
      <c r="Y37" s="297">
        <v>2.9499999999999998E-2</v>
      </c>
    </row>
    <row r="38" spans="1:25">
      <c r="A38" s="284" t="s">
        <v>102</v>
      </c>
      <c r="E38" s="279"/>
      <c r="F38" s="279"/>
      <c r="G38" s="279"/>
      <c r="H38" s="279"/>
      <c r="I38" s="279"/>
      <c r="J38" s="279"/>
      <c r="K38" s="279"/>
      <c r="L38" s="279"/>
      <c r="M38" s="279"/>
      <c r="N38" s="279"/>
      <c r="O38" s="279"/>
      <c r="P38" s="279"/>
      <c r="Q38" s="279"/>
      <c r="R38" s="279"/>
      <c r="S38" s="279"/>
      <c r="T38" s="279"/>
      <c r="U38" s="279"/>
      <c r="V38" s="279"/>
      <c r="W38" s="1"/>
      <c r="X38" s="298"/>
      <c r="Y38" s="299">
        <f>SUM(Y22:Y37)</f>
        <v>1.0000000000000004</v>
      </c>
    </row>
    <row r="39" spans="1:25">
      <c r="A39" s="1"/>
      <c r="E39" s="279"/>
      <c r="F39" s="279"/>
      <c r="G39" s="279"/>
      <c r="H39" s="279"/>
      <c r="I39" s="279"/>
      <c r="J39" s="279"/>
      <c r="K39" s="279"/>
      <c r="L39" s="279"/>
      <c r="M39" s="279"/>
      <c r="N39" s="279"/>
      <c r="O39" s="279"/>
      <c r="P39" s="279"/>
      <c r="Q39" s="279"/>
      <c r="R39" s="279"/>
      <c r="S39" s="279"/>
      <c r="T39" s="279"/>
      <c r="U39" s="279"/>
      <c r="V39" s="279"/>
      <c r="W39" s="1"/>
    </row>
    <row r="40" spans="1:25">
      <c r="A40" s="200" t="s">
        <v>104</v>
      </c>
      <c r="B40" s="5"/>
      <c r="C40" s="5"/>
      <c r="D40" s="5"/>
    </row>
    <row r="41" spans="1:25">
      <c r="A41" s="200"/>
      <c r="B41" s="5"/>
      <c r="C41" s="5"/>
      <c r="D41" s="5"/>
    </row>
    <row r="42" spans="1:25">
      <c r="A42" s="300" t="s">
        <v>91</v>
      </c>
    </row>
    <row r="43" spans="1:25">
      <c r="A43" s="5" t="s">
        <v>106</v>
      </c>
      <c r="B43" s="278">
        <f>'Summary Output'!$G$7*Allocation!$C$6</f>
        <v>236812.32233550414</v>
      </c>
      <c r="C43" s="278">
        <f t="shared" ref="C43:V43" si="17">B46</f>
        <v>236812.32233550414</v>
      </c>
      <c r="D43" s="278">
        <f t="shared" si="17"/>
        <v>224971.70621872894</v>
      </c>
      <c r="E43" s="278">
        <f t="shared" si="17"/>
        <v>202474.53559685603</v>
      </c>
      <c r="F43" s="278">
        <f t="shared" si="17"/>
        <v>182227.08203717042</v>
      </c>
      <c r="G43" s="278">
        <f t="shared" si="17"/>
        <v>163992.5332173366</v>
      </c>
      <c r="H43" s="278">
        <f t="shared" si="17"/>
        <v>147581.43927948616</v>
      </c>
      <c r="I43" s="278">
        <f t="shared" si="17"/>
        <v>132828.03159798426</v>
      </c>
      <c r="J43" s="278">
        <f t="shared" si="17"/>
        <v>118856.10458018951</v>
      </c>
      <c r="K43" s="278">
        <f t="shared" si="17"/>
        <v>104860.49633016122</v>
      </c>
      <c r="L43" s="278">
        <f t="shared" si="17"/>
        <v>90888.569312366468</v>
      </c>
      <c r="M43" s="278">
        <f t="shared" si="17"/>
        <v>76892.961062338174</v>
      </c>
      <c r="N43" s="278">
        <f t="shared" si="17"/>
        <v>62921.034044543427</v>
      </c>
      <c r="O43" s="278">
        <f t="shared" si="17"/>
        <v>48925.425794515133</v>
      </c>
      <c r="P43" s="278">
        <f t="shared" si="17"/>
        <v>34953.498776720386</v>
      </c>
      <c r="Q43" s="278">
        <f t="shared" si="17"/>
        <v>20957.890526692092</v>
      </c>
      <c r="R43" s="278">
        <f t="shared" si="17"/>
        <v>6985.9635088973482</v>
      </c>
      <c r="S43" s="278">
        <f t="shared" si="17"/>
        <v>-2.3646862246096134E-11</v>
      </c>
      <c r="T43" s="278">
        <f t="shared" si="17"/>
        <v>-2.3646862246096134E-11</v>
      </c>
      <c r="U43" s="278">
        <f t="shared" si="17"/>
        <v>-2.3646862246096134E-11</v>
      </c>
      <c r="V43" s="278">
        <f t="shared" si="17"/>
        <v>-2.3646862246096134E-11</v>
      </c>
    </row>
    <row r="44" spans="1:25">
      <c r="A44" s="5" t="s">
        <v>94</v>
      </c>
      <c r="B44" s="301">
        <f t="shared" ref="B44:R44" si="18">VLOOKUP(B6,$X$21:$Y$37,2)</f>
        <v>0</v>
      </c>
      <c r="C44" s="301">
        <f t="shared" si="18"/>
        <v>0.05</v>
      </c>
      <c r="D44" s="301">
        <f t="shared" si="18"/>
        <v>9.5000000000000001E-2</v>
      </c>
      <c r="E44" s="301">
        <f t="shared" si="18"/>
        <v>8.5500000000000007E-2</v>
      </c>
      <c r="F44" s="301">
        <f t="shared" si="18"/>
        <v>7.6999999999999999E-2</v>
      </c>
      <c r="G44" s="301">
        <f t="shared" si="18"/>
        <v>6.93E-2</v>
      </c>
      <c r="H44" s="301">
        <f t="shared" si="18"/>
        <v>6.2300000000000001E-2</v>
      </c>
      <c r="I44" s="301">
        <f t="shared" si="18"/>
        <v>5.8999999999999997E-2</v>
      </c>
      <c r="J44" s="301">
        <f t="shared" si="18"/>
        <v>5.91E-2</v>
      </c>
      <c r="K44" s="301">
        <f t="shared" si="18"/>
        <v>5.8999999999999997E-2</v>
      </c>
      <c r="L44" s="301">
        <f t="shared" si="18"/>
        <v>5.91E-2</v>
      </c>
      <c r="M44" s="301">
        <f t="shared" si="18"/>
        <v>5.8999999999999997E-2</v>
      </c>
      <c r="N44" s="301">
        <f t="shared" si="18"/>
        <v>5.91E-2</v>
      </c>
      <c r="O44" s="301">
        <f t="shared" si="18"/>
        <v>5.8999999999999997E-2</v>
      </c>
      <c r="P44" s="301">
        <f t="shared" si="18"/>
        <v>5.91E-2</v>
      </c>
      <c r="Q44" s="301">
        <f t="shared" si="18"/>
        <v>5.8999999999999997E-2</v>
      </c>
      <c r="R44" s="301">
        <f t="shared" si="18"/>
        <v>2.9499999999999998E-2</v>
      </c>
      <c r="S44" s="301">
        <v>0</v>
      </c>
      <c r="T44" s="301">
        <v>0</v>
      </c>
      <c r="U44" s="301">
        <v>0</v>
      </c>
      <c r="V44" s="301">
        <v>0</v>
      </c>
    </row>
    <row r="45" spans="1:25">
      <c r="A45" s="5" t="s">
        <v>96</v>
      </c>
      <c r="B45" s="272">
        <f>$B$43*B44</f>
        <v>0</v>
      </c>
      <c r="C45" s="272">
        <f t="shared" ref="C45:V45" si="19">$B$43*C44</f>
        <v>11840.616116775207</v>
      </c>
      <c r="D45" s="272">
        <f t="shared" si="19"/>
        <v>22497.170621872894</v>
      </c>
      <c r="E45" s="272">
        <f t="shared" si="19"/>
        <v>20247.453559685604</v>
      </c>
      <c r="F45" s="272">
        <f t="shared" si="19"/>
        <v>18234.548819833817</v>
      </c>
      <c r="G45" s="272">
        <f t="shared" si="19"/>
        <v>16411.093937850437</v>
      </c>
      <c r="H45" s="272">
        <f t="shared" si="19"/>
        <v>14753.407681501909</v>
      </c>
      <c r="I45" s="272">
        <f t="shared" si="19"/>
        <v>13971.927017794744</v>
      </c>
      <c r="J45" s="272">
        <f t="shared" si="19"/>
        <v>13995.608250028296</v>
      </c>
      <c r="K45" s="272">
        <f t="shared" si="19"/>
        <v>13971.927017794744</v>
      </c>
      <c r="L45" s="272">
        <f t="shared" si="19"/>
        <v>13995.608250028296</v>
      </c>
      <c r="M45" s="272">
        <f t="shared" si="19"/>
        <v>13971.927017794744</v>
      </c>
      <c r="N45" s="272">
        <f t="shared" si="19"/>
        <v>13995.608250028296</v>
      </c>
      <c r="O45" s="272">
        <f t="shared" si="19"/>
        <v>13971.927017794744</v>
      </c>
      <c r="P45" s="272">
        <f t="shared" si="19"/>
        <v>13995.608250028296</v>
      </c>
      <c r="Q45" s="272">
        <f t="shared" si="19"/>
        <v>13971.927017794744</v>
      </c>
      <c r="R45" s="272">
        <f t="shared" si="19"/>
        <v>6985.9635088973719</v>
      </c>
      <c r="S45" s="272">
        <f t="shared" si="19"/>
        <v>0</v>
      </c>
      <c r="T45" s="272">
        <f t="shared" si="19"/>
        <v>0</v>
      </c>
      <c r="U45" s="272">
        <f t="shared" si="19"/>
        <v>0</v>
      </c>
      <c r="V45" s="272">
        <f t="shared" si="19"/>
        <v>0</v>
      </c>
    </row>
    <row r="46" spans="1:25">
      <c r="A46" s="5" t="s">
        <v>105</v>
      </c>
      <c r="B46" s="180">
        <f t="shared" ref="B46:V46" si="20">B43-B45</f>
        <v>236812.32233550414</v>
      </c>
      <c r="C46" s="180">
        <f t="shared" si="20"/>
        <v>224971.70621872894</v>
      </c>
      <c r="D46" s="180">
        <f t="shared" si="20"/>
        <v>202474.53559685603</v>
      </c>
      <c r="E46" s="180">
        <f t="shared" si="20"/>
        <v>182227.08203717042</v>
      </c>
      <c r="F46" s="180">
        <f t="shared" si="20"/>
        <v>163992.5332173366</v>
      </c>
      <c r="G46" s="180">
        <f t="shared" si="20"/>
        <v>147581.43927948616</v>
      </c>
      <c r="H46" s="180">
        <f t="shared" si="20"/>
        <v>132828.03159798426</v>
      </c>
      <c r="I46" s="180">
        <f t="shared" si="20"/>
        <v>118856.10458018951</v>
      </c>
      <c r="J46" s="180">
        <f t="shared" si="20"/>
        <v>104860.49633016122</v>
      </c>
      <c r="K46" s="180">
        <f t="shared" si="20"/>
        <v>90888.569312366468</v>
      </c>
      <c r="L46" s="180">
        <f t="shared" si="20"/>
        <v>76892.961062338174</v>
      </c>
      <c r="M46" s="180">
        <f t="shared" si="20"/>
        <v>62921.034044543427</v>
      </c>
      <c r="N46" s="180">
        <f t="shared" si="20"/>
        <v>48925.425794515133</v>
      </c>
      <c r="O46" s="180">
        <f t="shared" si="20"/>
        <v>34953.498776720386</v>
      </c>
      <c r="P46" s="180">
        <f t="shared" si="20"/>
        <v>20957.890526692092</v>
      </c>
      <c r="Q46" s="180">
        <f t="shared" si="20"/>
        <v>6985.9635088973482</v>
      </c>
      <c r="R46" s="180">
        <f t="shared" si="20"/>
        <v>-2.3646862246096134E-11</v>
      </c>
      <c r="S46" s="180">
        <f t="shared" si="20"/>
        <v>-2.3646862246096134E-11</v>
      </c>
      <c r="T46" s="180">
        <f t="shared" si="20"/>
        <v>-2.3646862246096134E-11</v>
      </c>
      <c r="U46" s="180">
        <f t="shared" si="20"/>
        <v>-2.3646862246096134E-11</v>
      </c>
      <c r="V46" s="180">
        <f t="shared" si="20"/>
        <v>-2.3646862246096134E-11</v>
      </c>
    </row>
    <row r="48" spans="1:25">
      <c r="A48" s="300" t="s">
        <v>8</v>
      </c>
    </row>
    <row r="49" spans="1:22">
      <c r="A49" s="5" t="s">
        <v>106</v>
      </c>
      <c r="B49" s="278">
        <f>'Summary Output'!$G$7*Allocation!$C$7</f>
        <v>216621.99178904583</v>
      </c>
      <c r="C49" s="278">
        <f t="shared" ref="C49:V49" si="21">B52</f>
        <v>216621.99178904583</v>
      </c>
      <c r="D49" s="278">
        <f t="shared" si="21"/>
        <v>205790.89219959354</v>
      </c>
      <c r="E49" s="278">
        <f t="shared" si="21"/>
        <v>185211.80297963417</v>
      </c>
      <c r="F49" s="278">
        <f t="shared" si="21"/>
        <v>166690.62268167076</v>
      </c>
      <c r="G49" s="278">
        <f t="shared" si="21"/>
        <v>150010.72931391423</v>
      </c>
      <c r="H49" s="278">
        <f t="shared" si="21"/>
        <v>134998.82528293337</v>
      </c>
      <c r="I49" s="278">
        <f t="shared" si="21"/>
        <v>121503.27519447581</v>
      </c>
      <c r="J49" s="278">
        <f t="shared" si="21"/>
        <v>108722.5776789221</v>
      </c>
      <c r="K49" s="278">
        <f t="shared" si="21"/>
        <v>95920.217964189491</v>
      </c>
      <c r="L49" s="278">
        <f t="shared" si="21"/>
        <v>83139.520448635783</v>
      </c>
      <c r="M49" s="278">
        <f t="shared" si="21"/>
        <v>70337.160733903176</v>
      </c>
      <c r="N49" s="278">
        <f t="shared" si="21"/>
        <v>57556.463218349469</v>
      </c>
      <c r="O49" s="278">
        <f t="shared" si="21"/>
        <v>44754.103503616861</v>
      </c>
      <c r="P49" s="278">
        <f t="shared" si="21"/>
        <v>31973.405988063158</v>
      </c>
      <c r="Q49" s="278">
        <f t="shared" si="21"/>
        <v>19171.046273330547</v>
      </c>
      <c r="R49" s="278">
        <f t="shared" si="21"/>
        <v>6390.3487577768428</v>
      </c>
      <c r="S49" s="278">
        <f t="shared" si="21"/>
        <v>-9.0949470177292824E-12</v>
      </c>
      <c r="T49" s="278">
        <f t="shared" si="21"/>
        <v>-9.0949470177292824E-12</v>
      </c>
      <c r="U49" s="278">
        <f t="shared" si="21"/>
        <v>-9.0949470177292824E-12</v>
      </c>
      <c r="V49" s="278">
        <f t="shared" si="21"/>
        <v>-9.0949470177292824E-12</v>
      </c>
    </row>
    <row r="50" spans="1:22">
      <c r="A50" s="5" t="s">
        <v>94</v>
      </c>
      <c r="B50" s="301">
        <f t="shared" ref="B50:R50" si="22">VLOOKUP(B6,$X$21:$Y$37,2)</f>
        <v>0</v>
      </c>
      <c r="C50" s="301">
        <f t="shared" si="22"/>
        <v>0.05</v>
      </c>
      <c r="D50" s="301">
        <f t="shared" si="22"/>
        <v>9.5000000000000001E-2</v>
      </c>
      <c r="E50" s="301">
        <f t="shared" si="22"/>
        <v>8.5500000000000007E-2</v>
      </c>
      <c r="F50" s="301">
        <f t="shared" si="22"/>
        <v>7.6999999999999999E-2</v>
      </c>
      <c r="G50" s="301">
        <f t="shared" si="22"/>
        <v>6.93E-2</v>
      </c>
      <c r="H50" s="301">
        <f t="shared" si="22"/>
        <v>6.2300000000000001E-2</v>
      </c>
      <c r="I50" s="301">
        <f t="shared" si="22"/>
        <v>5.8999999999999997E-2</v>
      </c>
      <c r="J50" s="301">
        <f t="shared" si="22"/>
        <v>5.91E-2</v>
      </c>
      <c r="K50" s="301">
        <f t="shared" si="22"/>
        <v>5.8999999999999997E-2</v>
      </c>
      <c r="L50" s="301">
        <f t="shared" si="22"/>
        <v>5.91E-2</v>
      </c>
      <c r="M50" s="301">
        <f t="shared" si="22"/>
        <v>5.8999999999999997E-2</v>
      </c>
      <c r="N50" s="301">
        <f t="shared" si="22"/>
        <v>5.91E-2</v>
      </c>
      <c r="O50" s="301">
        <f t="shared" si="22"/>
        <v>5.8999999999999997E-2</v>
      </c>
      <c r="P50" s="301">
        <f t="shared" si="22"/>
        <v>5.91E-2</v>
      </c>
      <c r="Q50" s="301">
        <f t="shared" si="22"/>
        <v>5.8999999999999997E-2</v>
      </c>
      <c r="R50" s="301">
        <f t="shared" si="22"/>
        <v>2.9499999999999998E-2</v>
      </c>
      <c r="S50" s="301">
        <v>0</v>
      </c>
      <c r="T50" s="301">
        <v>0</v>
      </c>
      <c r="U50" s="301">
        <v>0</v>
      </c>
      <c r="V50" s="301">
        <v>0</v>
      </c>
    </row>
    <row r="51" spans="1:22">
      <c r="A51" s="5" t="s">
        <v>96</v>
      </c>
      <c r="B51" s="272">
        <f>$B$49*B50</f>
        <v>0</v>
      </c>
      <c r="C51" s="272">
        <f t="shared" ref="C51:V51" si="23">$B$49*C50</f>
        <v>10831.099589452293</v>
      </c>
      <c r="D51" s="272">
        <f t="shared" si="23"/>
        <v>20579.089219959355</v>
      </c>
      <c r="E51" s="272">
        <f t="shared" si="23"/>
        <v>18521.180297963419</v>
      </c>
      <c r="F51" s="272">
        <f t="shared" si="23"/>
        <v>16679.893367756529</v>
      </c>
      <c r="G51" s="272">
        <f t="shared" si="23"/>
        <v>15011.904030980877</v>
      </c>
      <c r="H51" s="272">
        <f t="shared" si="23"/>
        <v>13495.550088457556</v>
      </c>
      <c r="I51" s="272">
        <f t="shared" si="23"/>
        <v>12780.697515553704</v>
      </c>
      <c r="J51" s="272">
        <f t="shared" si="23"/>
        <v>12802.359714732609</v>
      </c>
      <c r="K51" s="272">
        <f t="shared" si="23"/>
        <v>12780.697515553704</v>
      </c>
      <c r="L51" s="272">
        <f t="shared" si="23"/>
        <v>12802.359714732609</v>
      </c>
      <c r="M51" s="272">
        <f t="shared" si="23"/>
        <v>12780.697515553704</v>
      </c>
      <c r="N51" s="272">
        <f t="shared" si="23"/>
        <v>12802.359714732609</v>
      </c>
      <c r="O51" s="272">
        <f t="shared" si="23"/>
        <v>12780.697515553704</v>
      </c>
      <c r="P51" s="272">
        <f t="shared" si="23"/>
        <v>12802.359714732609</v>
      </c>
      <c r="Q51" s="272">
        <f t="shared" si="23"/>
        <v>12780.697515553704</v>
      </c>
      <c r="R51" s="272">
        <f t="shared" si="23"/>
        <v>6390.3487577768519</v>
      </c>
      <c r="S51" s="272">
        <f t="shared" si="23"/>
        <v>0</v>
      </c>
      <c r="T51" s="272">
        <f t="shared" si="23"/>
        <v>0</v>
      </c>
      <c r="U51" s="272">
        <f t="shared" si="23"/>
        <v>0</v>
      </c>
      <c r="V51" s="272">
        <f t="shared" si="23"/>
        <v>0</v>
      </c>
    </row>
    <row r="52" spans="1:22">
      <c r="A52" s="5" t="s">
        <v>105</v>
      </c>
      <c r="B52" s="180">
        <f t="shared" ref="B52:V52" si="24">B49-B51</f>
        <v>216621.99178904583</v>
      </c>
      <c r="C52" s="180">
        <f t="shared" si="24"/>
        <v>205790.89219959354</v>
      </c>
      <c r="D52" s="180">
        <f t="shared" si="24"/>
        <v>185211.80297963417</v>
      </c>
      <c r="E52" s="180">
        <f t="shared" si="24"/>
        <v>166690.62268167076</v>
      </c>
      <c r="F52" s="180">
        <f t="shared" si="24"/>
        <v>150010.72931391423</v>
      </c>
      <c r="G52" s="180">
        <f t="shared" si="24"/>
        <v>134998.82528293337</v>
      </c>
      <c r="H52" s="180">
        <f t="shared" si="24"/>
        <v>121503.27519447581</v>
      </c>
      <c r="I52" s="180">
        <f t="shared" si="24"/>
        <v>108722.5776789221</v>
      </c>
      <c r="J52" s="180">
        <f t="shared" si="24"/>
        <v>95920.217964189491</v>
      </c>
      <c r="K52" s="180">
        <f t="shared" si="24"/>
        <v>83139.520448635783</v>
      </c>
      <c r="L52" s="180">
        <f t="shared" si="24"/>
        <v>70337.160733903176</v>
      </c>
      <c r="M52" s="180">
        <f t="shared" si="24"/>
        <v>57556.463218349469</v>
      </c>
      <c r="N52" s="180">
        <f t="shared" si="24"/>
        <v>44754.103503616861</v>
      </c>
      <c r="O52" s="180">
        <f t="shared" si="24"/>
        <v>31973.405988063158</v>
      </c>
      <c r="P52" s="180">
        <f t="shared" si="24"/>
        <v>19171.046273330547</v>
      </c>
      <c r="Q52" s="180">
        <f t="shared" si="24"/>
        <v>6390.3487577768428</v>
      </c>
      <c r="R52" s="180">
        <f t="shared" si="24"/>
        <v>-9.0949470177292824E-12</v>
      </c>
      <c r="S52" s="180">
        <f t="shared" si="24"/>
        <v>-9.0949470177292824E-12</v>
      </c>
      <c r="T52" s="180">
        <f t="shared" si="24"/>
        <v>-9.0949470177292824E-12</v>
      </c>
      <c r="U52" s="180">
        <f t="shared" si="24"/>
        <v>-9.0949470177292824E-12</v>
      </c>
      <c r="V52" s="180">
        <f t="shared" si="24"/>
        <v>-9.0949470177292824E-12</v>
      </c>
    </row>
    <row r="54" spans="1:22">
      <c r="A54" s="300" t="s">
        <v>9</v>
      </c>
    </row>
    <row r="55" spans="1:22">
      <c r="A55" s="5" t="s">
        <v>106</v>
      </c>
      <c r="B55" s="278">
        <f>'Summary Output'!$G$7*Allocation!$C$8</f>
        <v>348762.0426911345</v>
      </c>
      <c r="C55" s="180">
        <f t="shared" ref="C55:V55" si="25">B58</f>
        <v>348762.0426911345</v>
      </c>
      <c r="D55" s="180">
        <f t="shared" si="25"/>
        <v>331323.94055657776</v>
      </c>
      <c r="E55" s="180">
        <f t="shared" si="25"/>
        <v>298191.54650091997</v>
      </c>
      <c r="F55" s="180">
        <f t="shared" si="25"/>
        <v>268372.39185082796</v>
      </c>
      <c r="G55" s="180">
        <f t="shared" si="25"/>
        <v>241517.71456361061</v>
      </c>
      <c r="H55" s="180">
        <f t="shared" si="25"/>
        <v>217348.505005115</v>
      </c>
      <c r="I55" s="180">
        <f t="shared" si="25"/>
        <v>195620.62974545732</v>
      </c>
      <c r="J55" s="180">
        <f t="shared" si="25"/>
        <v>175043.66922668039</v>
      </c>
      <c r="K55" s="180">
        <f t="shared" si="25"/>
        <v>154431.83250363433</v>
      </c>
      <c r="L55" s="180">
        <f t="shared" si="25"/>
        <v>133854.8719848574</v>
      </c>
      <c r="M55" s="180">
        <f t="shared" si="25"/>
        <v>113243.03526181134</v>
      </c>
      <c r="N55" s="180">
        <f t="shared" si="25"/>
        <v>92666.074743034405</v>
      </c>
      <c r="O55" s="180">
        <f t="shared" si="25"/>
        <v>72054.238019988348</v>
      </c>
      <c r="P55" s="180">
        <f t="shared" si="25"/>
        <v>51477.277501211414</v>
      </c>
      <c r="Q55" s="180">
        <f t="shared" si="25"/>
        <v>30865.440778165364</v>
      </c>
      <c r="R55" s="180">
        <f t="shared" si="25"/>
        <v>10288.480259388431</v>
      </c>
      <c r="S55" s="180">
        <f t="shared" si="25"/>
        <v>-3.637978807091713E-11</v>
      </c>
      <c r="T55" s="180">
        <f t="shared" si="25"/>
        <v>-3.637978807091713E-11</v>
      </c>
      <c r="U55" s="180">
        <f t="shared" si="25"/>
        <v>-3.637978807091713E-11</v>
      </c>
      <c r="V55" s="180">
        <f t="shared" si="25"/>
        <v>-3.637978807091713E-11</v>
      </c>
    </row>
    <row r="56" spans="1:22">
      <c r="A56" s="5" t="s">
        <v>94</v>
      </c>
      <c r="B56" s="301">
        <f t="shared" ref="B56:R56" si="26">VLOOKUP(B6,$X$21:$Y$37,2)</f>
        <v>0</v>
      </c>
      <c r="C56" s="301">
        <f t="shared" si="26"/>
        <v>0.05</v>
      </c>
      <c r="D56" s="301">
        <f t="shared" si="26"/>
        <v>9.5000000000000001E-2</v>
      </c>
      <c r="E56" s="301">
        <f t="shared" si="26"/>
        <v>8.5500000000000007E-2</v>
      </c>
      <c r="F56" s="301">
        <f t="shared" si="26"/>
        <v>7.6999999999999999E-2</v>
      </c>
      <c r="G56" s="301">
        <f t="shared" si="26"/>
        <v>6.93E-2</v>
      </c>
      <c r="H56" s="301">
        <f t="shared" si="26"/>
        <v>6.2300000000000001E-2</v>
      </c>
      <c r="I56" s="301">
        <f t="shared" si="26"/>
        <v>5.8999999999999997E-2</v>
      </c>
      <c r="J56" s="301">
        <f t="shared" si="26"/>
        <v>5.91E-2</v>
      </c>
      <c r="K56" s="301">
        <f t="shared" si="26"/>
        <v>5.8999999999999997E-2</v>
      </c>
      <c r="L56" s="301">
        <f t="shared" si="26"/>
        <v>5.91E-2</v>
      </c>
      <c r="M56" s="301">
        <f t="shared" si="26"/>
        <v>5.8999999999999997E-2</v>
      </c>
      <c r="N56" s="301">
        <f t="shared" si="26"/>
        <v>5.91E-2</v>
      </c>
      <c r="O56" s="301">
        <f t="shared" si="26"/>
        <v>5.8999999999999997E-2</v>
      </c>
      <c r="P56" s="301">
        <f t="shared" si="26"/>
        <v>5.91E-2</v>
      </c>
      <c r="Q56" s="301">
        <f t="shared" si="26"/>
        <v>5.8999999999999997E-2</v>
      </c>
      <c r="R56" s="301">
        <f t="shared" si="26"/>
        <v>2.9499999999999998E-2</v>
      </c>
      <c r="S56" s="301">
        <v>0</v>
      </c>
      <c r="T56" s="301">
        <v>0</v>
      </c>
      <c r="U56" s="301">
        <v>0</v>
      </c>
      <c r="V56" s="301">
        <v>0</v>
      </c>
    </row>
    <row r="57" spans="1:22">
      <c r="A57" s="5" t="s">
        <v>96</v>
      </c>
      <c r="B57" s="272">
        <f>$B$55*B56</f>
        <v>0</v>
      </c>
      <c r="C57" s="272">
        <f t="shared" ref="C57:V57" si="27">$B$55*C56</f>
        <v>17438.102134556724</v>
      </c>
      <c r="D57" s="272">
        <f t="shared" si="27"/>
        <v>33132.39405565778</v>
      </c>
      <c r="E57" s="272">
        <f t="shared" si="27"/>
        <v>29819.154650092001</v>
      </c>
      <c r="F57" s="272">
        <f t="shared" si="27"/>
        <v>26854.677287217357</v>
      </c>
      <c r="G57" s="272">
        <f t="shared" si="27"/>
        <v>24169.209558495622</v>
      </c>
      <c r="H57" s="272">
        <f t="shared" si="27"/>
        <v>21727.875259657681</v>
      </c>
      <c r="I57" s="272">
        <f t="shared" si="27"/>
        <v>20576.960518776934</v>
      </c>
      <c r="J57" s="272">
        <f t="shared" si="27"/>
        <v>20611.83672304605</v>
      </c>
      <c r="K57" s="272">
        <f t="shared" si="27"/>
        <v>20576.960518776934</v>
      </c>
      <c r="L57" s="272">
        <f t="shared" si="27"/>
        <v>20611.83672304605</v>
      </c>
      <c r="M57" s="272">
        <f t="shared" si="27"/>
        <v>20576.960518776934</v>
      </c>
      <c r="N57" s="272">
        <f t="shared" si="27"/>
        <v>20611.83672304605</v>
      </c>
      <c r="O57" s="272">
        <f t="shared" si="27"/>
        <v>20576.960518776934</v>
      </c>
      <c r="P57" s="272">
        <f t="shared" si="27"/>
        <v>20611.83672304605</v>
      </c>
      <c r="Q57" s="272">
        <f t="shared" si="27"/>
        <v>20576.960518776934</v>
      </c>
      <c r="R57" s="272">
        <f t="shared" si="27"/>
        <v>10288.480259388467</v>
      </c>
      <c r="S57" s="272">
        <f t="shared" si="27"/>
        <v>0</v>
      </c>
      <c r="T57" s="272">
        <f t="shared" si="27"/>
        <v>0</v>
      </c>
      <c r="U57" s="272">
        <f t="shared" si="27"/>
        <v>0</v>
      </c>
      <c r="V57" s="272">
        <f t="shared" si="27"/>
        <v>0</v>
      </c>
    </row>
    <row r="58" spans="1:22">
      <c r="A58" s="5" t="s">
        <v>105</v>
      </c>
      <c r="B58" s="180">
        <f t="shared" ref="B58:V58" si="28">B55-B57</f>
        <v>348762.0426911345</v>
      </c>
      <c r="C58" s="180">
        <f t="shared" si="28"/>
        <v>331323.94055657776</v>
      </c>
      <c r="D58" s="180">
        <f t="shared" si="28"/>
        <v>298191.54650091997</v>
      </c>
      <c r="E58" s="180">
        <f t="shared" si="28"/>
        <v>268372.39185082796</v>
      </c>
      <c r="F58" s="180">
        <f t="shared" si="28"/>
        <v>241517.71456361061</v>
      </c>
      <c r="G58" s="180">
        <f t="shared" si="28"/>
        <v>217348.505005115</v>
      </c>
      <c r="H58" s="180">
        <f t="shared" si="28"/>
        <v>195620.62974545732</v>
      </c>
      <c r="I58" s="180">
        <f t="shared" si="28"/>
        <v>175043.66922668039</v>
      </c>
      <c r="J58" s="180">
        <f t="shared" si="28"/>
        <v>154431.83250363433</v>
      </c>
      <c r="K58" s="180">
        <f t="shared" si="28"/>
        <v>133854.8719848574</v>
      </c>
      <c r="L58" s="180">
        <f t="shared" si="28"/>
        <v>113243.03526181134</v>
      </c>
      <c r="M58" s="180">
        <f t="shared" si="28"/>
        <v>92666.074743034405</v>
      </c>
      <c r="N58" s="180">
        <f t="shared" si="28"/>
        <v>72054.238019988348</v>
      </c>
      <c r="O58" s="180">
        <f t="shared" si="28"/>
        <v>51477.277501211414</v>
      </c>
      <c r="P58" s="180">
        <f t="shared" si="28"/>
        <v>30865.440778165364</v>
      </c>
      <c r="Q58" s="180">
        <f t="shared" si="28"/>
        <v>10288.480259388431</v>
      </c>
      <c r="R58" s="180">
        <f t="shared" si="28"/>
        <v>-3.637978807091713E-11</v>
      </c>
      <c r="S58" s="180">
        <f t="shared" si="28"/>
        <v>-3.637978807091713E-11</v>
      </c>
      <c r="T58" s="180">
        <f t="shared" si="28"/>
        <v>-3.637978807091713E-11</v>
      </c>
      <c r="U58" s="180">
        <f t="shared" si="28"/>
        <v>-3.637978807091713E-11</v>
      </c>
      <c r="V58" s="180">
        <f t="shared" si="28"/>
        <v>-3.637978807091713E-11</v>
      </c>
    </row>
    <row r="60" spans="1:22">
      <c r="A60" s="300" t="s">
        <v>98</v>
      </c>
    </row>
    <row r="61" spans="1:22">
      <c r="A61" s="5" t="s">
        <v>106</v>
      </c>
      <c r="B61" s="180">
        <f>SUM(B43,B49,B55)</f>
        <v>802196.35681568447</v>
      </c>
      <c r="C61" s="180">
        <f>B63</f>
        <v>802196.35681568447</v>
      </c>
      <c r="D61" s="180">
        <f t="shared" ref="D61:V61" si="29">C63</f>
        <v>762086.53897490026</v>
      </c>
      <c r="E61" s="180">
        <f t="shared" si="29"/>
        <v>685877.88507741026</v>
      </c>
      <c r="F61" s="180">
        <f t="shared" si="29"/>
        <v>617290.0965696692</v>
      </c>
      <c r="G61" s="180">
        <f t="shared" si="29"/>
        <v>555520.97709486145</v>
      </c>
      <c r="H61" s="180">
        <f t="shared" si="29"/>
        <v>499928.7695675345</v>
      </c>
      <c r="I61" s="180">
        <f t="shared" si="29"/>
        <v>449951.93653791735</v>
      </c>
      <c r="J61" s="180">
        <f t="shared" si="29"/>
        <v>402622.35148579197</v>
      </c>
      <c r="K61" s="180">
        <f t="shared" si="29"/>
        <v>355212.54679798498</v>
      </c>
      <c r="L61" s="180">
        <f t="shared" si="29"/>
        <v>307882.96174585959</v>
      </c>
      <c r="M61" s="180">
        <f t="shared" si="29"/>
        <v>260473.15705805263</v>
      </c>
      <c r="N61" s="180">
        <f t="shared" si="29"/>
        <v>213143.57200592724</v>
      </c>
      <c r="O61" s="180">
        <f t="shared" si="29"/>
        <v>165733.76731812028</v>
      </c>
      <c r="P61" s="180">
        <f t="shared" si="29"/>
        <v>118404.1822659949</v>
      </c>
      <c r="Q61" s="180">
        <f t="shared" si="29"/>
        <v>70994.377578187938</v>
      </c>
      <c r="R61" s="180">
        <f t="shared" si="29"/>
        <v>23664.792526062556</v>
      </c>
      <c r="S61" s="180">
        <f t="shared" si="29"/>
        <v>-1.3460521586239338E-10</v>
      </c>
      <c r="T61" s="180">
        <f t="shared" si="29"/>
        <v>-1.3460521586239338E-10</v>
      </c>
      <c r="U61" s="180">
        <f t="shared" si="29"/>
        <v>-1.3460521586239338E-10</v>
      </c>
      <c r="V61" s="180">
        <f t="shared" si="29"/>
        <v>-1.3460521586239338E-10</v>
      </c>
    </row>
    <row r="62" spans="1:22">
      <c r="A62" s="5" t="s">
        <v>96</v>
      </c>
      <c r="B62" s="272">
        <f>SUM(B45,B51,B57)</f>
        <v>0</v>
      </c>
      <c r="C62" s="272">
        <f t="shared" ref="C62:V62" si="30">SUM(C45,C51,C57)</f>
        <v>40109.817840784221</v>
      </c>
      <c r="D62" s="272">
        <f t="shared" si="30"/>
        <v>76208.653897490032</v>
      </c>
      <c r="E62" s="272">
        <f t="shared" si="30"/>
        <v>68587.788507741032</v>
      </c>
      <c r="F62" s="272">
        <f t="shared" si="30"/>
        <v>61769.119474807711</v>
      </c>
      <c r="G62" s="272">
        <f t="shared" si="30"/>
        <v>55592.207527326937</v>
      </c>
      <c r="H62" s="272">
        <f t="shared" si="30"/>
        <v>49976.833029617148</v>
      </c>
      <c r="I62" s="272">
        <f t="shared" si="30"/>
        <v>47329.585052125381</v>
      </c>
      <c r="J62" s="272">
        <f t="shared" si="30"/>
        <v>47409.804687806958</v>
      </c>
      <c r="K62" s="272">
        <f t="shared" si="30"/>
        <v>47329.585052125381</v>
      </c>
      <c r="L62" s="272">
        <f t="shared" si="30"/>
        <v>47409.804687806958</v>
      </c>
      <c r="M62" s="272">
        <f t="shared" si="30"/>
        <v>47329.585052125381</v>
      </c>
      <c r="N62" s="272">
        <f t="shared" si="30"/>
        <v>47409.804687806958</v>
      </c>
      <c r="O62" s="272">
        <f t="shared" si="30"/>
        <v>47329.585052125381</v>
      </c>
      <c r="P62" s="272">
        <f t="shared" si="30"/>
        <v>47409.804687806958</v>
      </c>
      <c r="Q62" s="272">
        <f t="shared" si="30"/>
        <v>47329.585052125381</v>
      </c>
      <c r="R62" s="272">
        <f t="shared" si="30"/>
        <v>23664.792526062691</v>
      </c>
      <c r="S62" s="272">
        <f t="shared" si="30"/>
        <v>0</v>
      </c>
      <c r="T62" s="272">
        <f t="shared" si="30"/>
        <v>0</v>
      </c>
      <c r="U62" s="272">
        <f t="shared" si="30"/>
        <v>0</v>
      </c>
      <c r="V62" s="272">
        <f t="shared" si="30"/>
        <v>0</v>
      </c>
    </row>
    <row r="63" spans="1:22">
      <c r="A63" s="5" t="s">
        <v>105</v>
      </c>
      <c r="B63" s="180">
        <f>B61-B62</f>
        <v>802196.35681568447</v>
      </c>
      <c r="C63" s="180">
        <f t="shared" ref="C63:V63" si="31">C61-C62</f>
        <v>762086.53897490026</v>
      </c>
      <c r="D63" s="180">
        <f t="shared" si="31"/>
        <v>685877.88507741026</v>
      </c>
      <c r="E63" s="180">
        <f t="shared" si="31"/>
        <v>617290.0965696692</v>
      </c>
      <c r="F63" s="180">
        <f t="shared" si="31"/>
        <v>555520.97709486145</v>
      </c>
      <c r="G63" s="180">
        <f t="shared" si="31"/>
        <v>499928.7695675345</v>
      </c>
      <c r="H63" s="180">
        <f t="shared" si="31"/>
        <v>449951.93653791735</v>
      </c>
      <c r="I63" s="180">
        <f t="shared" si="31"/>
        <v>402622.35148579197</v>
      </c>
      <c r="J63" s="180">
        <f t="shared" si="31"/>
        <v>355212.54679798498</v>
      </c>
      <c r="K63" s="180">
        <f t="shared" si="31"/>
        <v>307882.96174585959</v>
      </c>
      <c r="L63" s="180">
        <f t="shared" si="31"/>
        <v>260473.15705805263</v>
      </c>
      <c r="M63" s="180">
        <f t="shared" si="31"/>
        <v>213143.57200592724</v>
      </c>
      <c r="N63" s="180">
        <f t="shared" si="31"/>
        <v>165733.76731812028</v>
      </c>
      <c r="O63" s="180">
        <f t="shared" si="31"/>
        <v>118404.1822659949</v>
      </c>
      <c r="P63" s="180">
        <f t="shared" si="31"/>
        <v>70994.377578187938</v>
      </c>
      <c r="Q63" s="180">
        <f t="shared" si="31"/>
        <v>23664.792526062556</v>
      </c>
      <c r="R63" s="180">
        <f t="shared" si="31"/>
        <v>-1.3460521586239338E-10</v>
      </c>
      <c r="S63" s="180">
        <f t="shared" si="31"/>
        <v>-1.3460521586239338E-10</v>
      </c>
      <c r="T63" s="180">
        <f t="shared" si="31"/>
        <v>-1.3460521586239338E-10</v>
      </c>
      <c r="U63" s="180">
        <f t="shared" si="31"/>
        <v>-1.3460521586239338E-10</v>
      </c>
      <c r="V63" s="180">
        <f t="shared" si="31"/>
        <v>-1.3460521586239338E-10</v>
      </c>
    </row>
    <row r="67" spans="1:22">
      <c r="A67" s="178" t="s">
        <v>179</v>
      </c>
      <c r="B67" s="302">
        <f>B62</f>
        <v>0</v>
      </c>
      <c r="C67" s="302">
        <f t="shared" ref="C67:V67" si="32">C62</f>
        <v>40109.817840784221</v>
      </c>
      <c r="D67" s="302">
        <f t="shared" si="32"/>
        <v>76208.653897490032</v>
      </c>
      <c r="E67" s="302">
        <f t="shared" si="32"/>
        <v>68587.788507741032</v>
      </c>
      <c r="F67" s="302">
        <f t="shared" si="32"/>
        <v>61769.119474807711</v>
      </c>
      <c r="G67" s="302">
        <f t="shared" si="32"/>
        <v>55592.207527326937</v>
      </c>
      <c r="H67" s="302">
        <f t="shared" si="32"/>
        <v>49976.833029617148</v>
      </c>
      <c r="I67" s="302">
        <f t="shared" si="32"/>
        <v>47329.585052125381</v>
      </c>
      <c r="J67" s="302">
        <f t="shared" si="32"/>
        <v>47409.804687806958</v>
      </c>
      <c r="K67" s="302">
        <f t="shared" si="32"/>
        <v>47329.585052125381</v>
      </c>
      <c r="L67" s="302">
        <f t="shared" si="32"/>
        <v>47409.804687806958</v>
      </c>
      <c r="M67" s="302">
        <f t="shared" si="32"/>
        <v>47329.585052125381</v>
      </c>
      <c r="N67" s="302">
        <f t="shared" si="32"/>
        <v>47409.804687806958</v>
      </c>
      <c r="O67" s="302">
        <f t="shared" si="32"/>
        <v>47329.585052125381</v>
      </c>
      <c r="P67" s="302">
        <f t="shared" si="32"/>
        <v>47409.804687806958</v>
      </c>
      <c r="Q67" s="302">
        <f t="shared" si="32"/>
        <v>47329.585052125381</v>
      </c>
      <c r="R67" s="302">
        <f t="shared" si="32"/>
        <v>23664.792526062691</v>
      </c>
      <c r="S67" s="302">
        <f t="shared" si="32"/>
        <v>0</v>
      </c>
      <c r="T67" s="302">
        <f t="shared" si="32"/>
        <v>0</v>
      </c>
      <c r="U67" s="302">
        <f t="shared" si="32"/>
        <v>0</v>
      </c>
      <c r="V67" s="302">
        <f t="shared" si="32"/>
        <v>0</v>
      </c>
    </row>
    <row r="68" spans="1:22">
      <c r="A68" s="303" t="s">
        <v>180</v>
      </c>
      <c r="B68" s="304">
        <v>0</v>
      </c>
      <c r="C68" s="304">
        <f>SUM(Gleason!B85,Wheatland!B86,Wilton!B79)</f>
        <v>-40109.817840784221</v>
      </c>
      <c r="D68" s="304">
        <f>SUM(Gleason!C85,Wheatland!C86,Wilton!C79)</f>
        <v>-76208.653897490032</v>
      </c>
      <c r="E68" s="304">
        <f>SUM(Gleason!D85,Wheatland!D86,Wilton!D79)</f>
        <v>-68587.788507741032</v>
      </c>
      <c r="F68" s="304">
        <f>SUM(Gleason!E85,Wheatland!E86,Wilton!E79)</f>
        <v>-61769.119474807711</v>
      </c>
      <c r="G68" s="304">
        <f>SUM(Gleason!F85,Wheatland!F86,Wilton!F79)</f>
        <v>-55592.207527326937</v>
      </c>
      <c r="H68" s="304">
        <f>SUM(Gleason!G85,Wheatland!G86,Wilton!G79)</f>
        <v>-49976.833029617148</v>
      </c>
      <c r="I68" s="304">
        <f>SUM(Gleason!H85,Wheatland!H86,Wilton!H79)</f>
        <v>-47329.585052125381</v>
      </c>
      <c r="J68" s="304">
        <f>SUM(Gleason!I85,Wheatland!I86,Wilton!I79)</f>
        <v>-47409.804687806958</v>
      </c>
      <c r="K68" s="304">
        <f>SUM(Gleason!J85,Wheatland!J86,Wilton!J79)</f>
        <v>-47329.585052125381</v>
      </c>
      <c r="L68" s="304">
        <f>SUM(Gleason!K85,Wheatland!K86,Wilton!K79)</f>
        <v>-47409.804687806958</v>
      </c>
      <c r="M68" s="304">
        <f>SUM(Gleason!L85,Wheatland!L86,Wilton!L79)</f>
        <v>-47329.585052125381</v>
      </c>
      <c r="N68" s="304">
        <f>SUM(Gleason!M85,Wheatland!M86,Wilton!M79)</f>
        <v>-47409.804687806958</v>
      </c>
      <c r="O68" s="304">
        <f>SUM(Gleason!N85,Wheatland!N86,Wilton!N79)</f>
        <v>-47329.585052125381</v>
      </c>
      <c r="P68" s="304">
        <f>SUM(Gleason!O85,Wheatland!O86,Wilton!O79)</f>
        <v>-47409.804687806958</v>
      </c>
      <c r="Q68" s="304">
        <f>SUM(Gleason!P85,Wheatland!P86,Wilton!P79)</f>
        <v>-47329.585052125381</v>
      </c>
      <c r="R68" s="304">
        <f>SUM(Gleason!Q85,Wheatland!Q86,Wilton!Q79)</f>
        <v>-23664.792526062691</v>
      </c>
      <c r="S68" s="304">
        <f>SUM(Gleason!R85,Wheatland!R86,Wilton!R79)</f>
        <v>0</v>
      </c>
      <c r="T68" s="304">
        <f>SUM(Gleason!S85,Wheatland!S86,Wilton!S79)</f>
        <v>0</v>
      </c>
      <c r="U68" s="304">
        <f>SUM(Gleason!T85,Wheatland!T86,Wilton!T79)</f>
        <v>0</v>
      </c>
      <c r="V68" s="304">
        <f>SUM(Gleason!U85,Wheatland!U86,Wilton!U79)</f>
        <v>0</v>
      </c>
    </row>
    <row r="69" spans="1:22">
      <c r="A69" s="178" t="s">
        <v>181</v>
      </c>
      <c r="B69" s="302">
        <f>B67+B68</f>
        <v>0</v>
      </c>
      <c r="C69" s="302">
        <f t="shared" ref="C69:V69" si="33">C67+C68</f>
        <v>0</v>
      </c>
      <c r="D69" s="302">
        <f t="shared" si="33"/>
        <v>0</v>
      </c>
      <c r="E69" s="302">
        <f t="shared" si="33"/>
        <v>0</v>
      </c>
      <c r="F69" s="302">
        <f t="shared" si="33"/>
        <v>0</v>
      </c>
      <c r="G69" s="302">
        <f t="shared" si="33"/>
        <v>0</v>
      </c>
      <c r="H69" s="302">
        <f t="shared" si="33"/>
        <v>0</v>
      </c>
      <c r="I69" s="302">
        <f t="shared" si="33"/>
        <v>0</v>
      </c>
      <c r="J69" s="302">
        <f t="shared" si="33"/>
        <v>0</v>
      </c>
      <c r="K69" s="302">
        <f t="shared" si="33"/>
        <v>0</v>
      </c>
      <c r="L69" s="302">
        <f t="shared" si="33"/>
        <v>0</v>
      </c>
      <c r="M69" s="302">
        <f t="shared" si="33"/>
        <v>0</v>
      </c>
      <c r="N69" s="302">
        <f t="shared" si="33"/>
        <v>0</v>
      </c>
      <c r="O69" s="302">
        <f t="shared" si="33"/>
        <v>0</v>
      </c>
      <c r="P69" s="302">
        <f t="shared" si="33"/>
        <v>0</v>
      </c>
      <c r="Q69" s="302">
        <f t="shared" si="33"/>
        <v>0</v>
      </c>
      <c r="R69" s="302">
        <f t="shared" si="33"/>
        <v>0</v>
      </c>
      <c r="S69" s="302">
        <f t="shared" si="33"/>
        <v>0</v>
      </c>
      <c r="T69" s="302">
        <f t="shared" si="33"/>
        <v>0</v>
      </c>
      <c r="U69" s="302">
        <f t="shared" si="33"/>
        <v>0</v>
      </c>
      <c r="V69" s="302">
        <f t="shared" si="33"/>
        <v>0</v>
      </c>
    </row>
  </sheetData>
  <pageMargins left="0.75" right="0.75" top="1" bottom="1" header="0.5" footer="0.5"/>
  <pageSetup scale="49" orientation="landscape" r:id="rId1"/>
  <headerFooter alignWithMargins="0">
    <oddHeader>&amp;L&amp;12Enron's Generation&amp;RCONFIDENTIAL</oddHeader>
    <oddFooter>&amp;L&amp;D&amp;C&amp;F&amp;RPage &amp;P</oddFooter>
  </headerFooter>
  <rowBreaks count="1" manualBreakCount="1">
    <brk id="37" max="2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2:Y25"/>
  <sheetViews>
    <sheetView zoomScaleNormal="75" workbookViewId="0">
      <pane xSplit="1" ySplit="5" topLeftCell="B6" activePane="bottomRight" state="frozen"/>
      <selection pane="topRight"/>
      <selection pane="bottomLeft"/>
      <selection pane="bottomRight" activeCell="A24" sqref="A24"/>
    </sheetView>
  </sheetViews>
  <sheetFormatPr defaultRowHeight="12.75"/>
  <cols>
    <col min="1" max="1" width="40.42578125" style="5" bestFit="1" customWidth="1"/>
    <col min="2" max="2" width="8.28515625" style="5" bestFit="1" customWidth="1"/>
    <col min="3" max="5" width="9.28515625" style="5" bestFit="1" customWidth="1"/>
    <col min="6" max="21" width="8.7109375" style="5" bestFit="1" customWidth="1"/>
    <col min="22" max="22" width="9.140625" style="6"/>
    <col min="23" max="24" width="10.85546875" style="6" bestFit="1" customWidth="1"/>
    <col min="25" max="25" width="4.7109375" style="6" bestFit="1" customWidth="1"/>
    <col min="26" max="16384" width="9.140625" style="6"/>
  </cols>
  <sheetData>
    <row r="2" spans="1:25" ht="18">
      <c r="A2" s="305" t="s">
        <v>155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306"/>
      <c r="W2" s="306"/>
    </row>
    <row r="3" spans="1:25">
      <c r="A3" s="307"/>
      <c r="B3" s="308"/>
      <c r="C3" s="308"/>
      <c r="D3" s="308"/>
      <c r="E3" s="308"/>
      <c r="F3" s="308"/>
      <c r="G3" s="309"/>
      <c r="H3" s="308"/>
      <c r="I3" s="308"/>
      <c r="J3" s="308"/>
      <c r="K3" s="308"/>
      <c r="L3" s="308"/>
      <c r="M3" s="309"/>
      <c r="N3" s="308"/>
      <c r="O3" s="308"/>
      <c r="P3" s="308"/>
      <c r="Q3" s="308"/>
      <c r="R3" s="308"/>
      <c r="S3" s="309"/>
      <c r="T3" s="308"/>
      <c r="U3" s="308"/>
      <c r="V3" s="310"/>
      <c r="W3" s="310"/>
    </row>
    <row r="4" spans="1:25">
      <c r="A4" s="256"/>
      <c r="B4" s="311">
        <v>3</v>
      </c>
      <c r="C4" s="311">
        <v>4</v>
      </c>
      <c r="D4" s="311">
        <v>5</v>
      </c>
      <c r="E4" s="312">
        <v>6</v>
      </c>
      <c r="F4" s="311">
        <v>7</v>
      </c>
      <c r="G4" s="311">
        <v>8</v>
      </c>
      <c r="H4" s="311">
        <v>9</v>
      </c>
      <c r="I4" s="311">
        <v>10</v>
      </c>
      <c r="J4" s="311">
        <v>11</v>
      </c>
      <c r="K4" s="312">
        <v>12</v>
      </c>
      <c r="L4" s="311">
        <v>13</v>
      </c>
      <c r="M4" s="311">
        <v>14</v>
      </c>
      <c r="N4" s="311">
        <v>15</v>
      </c>
      <c r="O4" s="311">
        <v>16</v>
      </c>
      <c r="P4" s="311">
        <v>17</v>
      </c>
      <c r="Q4" s="312">
        <v>18</v>
      </c>
      <c r="R4" s="311">
        <v>19</v>
      </c>
      <c r="S4" s="311">
        <v>20</v>
      </c>
      <c r="T4" s="311">
        <v>21</v>
      </c>
      <c r="U4" s="311">
        <v>22</v>
      </c>
      <c r="V4" s="313"/>
      <c r="W4" s="310"/>
    </row>
    <row r="5" spans="1:25" ht="13.5" thickBot="1">
      <c r="A5" s="162" t="s">
        <v>49</v>
      </c>
      <c r="B5" s="163">
        <v>2001</v>
      </c>
      <c r="C5" s="163">
        <v>2002</v>
      </c>
      <c r="D5" s="163">
        <v>2003</v>
      </c>
      <c r="E5" s="163">
        <v>2004</v>
      </c>
      <c r="F5" s="163">
        <v>2005</v>
      </c>
      <c r="G5" s="163">
        <v>2006</v>
      </c>
      <c r="H5" s="163">
        <v>2007</v>
      </c>
      <c r="I5" s="163">
        <v>2008</v>
      </c>
      <c r="J5" s="163">
        <v>2009</v>
      </c>
      <c r="K5" s="163">
        <v>2010</v>
      </c>
      <c r="L5" s="163">
        <v>2011</v>
      </c>
      <c r="M5" s="163">
        <v>2012</v>
      </c>
      <c r="N5" s="163">
        <v>2013</v>
      </c>
      <c r="O5" s="163">
        <v>2014</v>
      </c>
      <c r="P5" s="163">
        <v>2015</v>
      </c>
      <c r="Q5" s="163">
        <v>2016</v>
      </c>
      <c r="R5" s="163">
        <v>2017</v>
      </c>
      <c r="S5" s="163">
        <v>2018</v>
      </c>
      <c r="T5" s="163">
        <v>2019</v>
      </c>
      <c r="U5" s="163">
        <v>2020</v>
      </c>
    </row>
    <row r="6" spans="1:25">
      <c r="A6" s="256"/>
      <c r="B6" s="314"/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</row>
    <row r="7" spans="1:25">
      <c r="A7" s="315" t="s">
        <v>76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316"/>
      <c r="W7" s="316"/>
    </row>
    <row r="8" spans="1:25" ht="13.5" thickBot="1">
      <c r="A8" s="14" t="s">
        <v>117</v>
      </c>
      <c r="B8" s="317">
        <f>SUM(Wheatland!B100,Wilton!B91,Gleason!B97)</f>
        <v>1791.6692121988806</v>
      </c>
      <c r="C8" s="317">
        <f>SUM(Wheatland!C100,Wilton!C91,Gleason!C97)</f>
        <v>485.54021269266622</v>
      </c>
      <c r="D8" s="317">
        <f>SUM(Wheatland!D100,Wilton!D91,Gleason!D97)</f>
        <v>790.67777468099484</v>
      </c>
      <c r="E8" s="317">
        <f>SUM(Wheatland!E100,Wilton!E91,Gleason!E97)</f>
        <v>1324.9859526489649</v>
      </c>
      <c r="F8" s="317">
        <f>SUM(Wheatland!F100,Wilton!F91,Gleason!F97)</f>
        <v>2186.705247209537</v>
      </c>
      <c r="G8" s="317">
        <f>SUM(Wheatland!G100,Wilton!G91,Gleason!G97)</f>
        <v>2995.721300719189</v>
      </c>
      <c r="H8" s="317">
        <f>SUM(Wheatland!H100,Wilton!H91,Gleason!H97)</f>
        <v>3362.4662499572623</v>
      </c>
      <c r="I8" s="317">
        <f>SUM(Wheatland!I100,Wilton!I91,Gleason!I97)</f>
        <v>3569.2443813122154</v>
      </c>
      <c r="J8" s="317">
        <f>SUM(Wheatland!J100,Wilton!J91,Gleason!J97)</f>
        <v>3818.7756895138477</v>
      </c>
      <c r="K8" s="317">
        <f>SUM(Wheatland!K100,Wilton!K91,Gleason!K97)</f>
        <v>4072.11686884444</v>
      </c>
      <c r="L8" s="317">
        <f>SUM(Wheatland!L100,Wilton!L91,Gleason!L97)</f>
        <v>4366.8506411060189</v>
      </c>
      <c r="M8" s="317">
        <f>SUM(Wheatland!M100,Wilton!M91,Gleason!M97)</f>
        <v>4752.212797422475</v>
      </c>
      <c r="N8" s="317">
        <f>SUM(Wheatland!N100,Wilton!N91,Gleason!N97)</f>
        <v>5140.112380759052</v>
      </c>
      <c r="O8" s="317">
        <f>SUM(Wheatland!O100,Wilton!O91,Gleason!O97)</f>
        <v>5536.4360682808383</v>
      </c>
      <c r="P8" s="317">
        <f>SUM(Wheatland!P100,Wilton!P91,Gleason!P97)</f>
        <v>5921.7196643703637</v>
      </c>
      <c r="Q8" s="317">
        <f>SUM(Wheatland!Q100,Wilton!Q91,Gleason!Q97)</f>
        <v>7795.3504876941442</v>
      </c>
      <c r="R8" s="317">
        <f>SUM(Wheatland!R100,Wilton!R91,Gleason!R97)</f>
        <v>9650.5437186057043</v>
      </c>
      <c r="S8" s="317">
        <f>SUM(Wheatland!S100,Wilton!S91,Gleason!S97)</f>
        <v>10047.404842275315</v>
      </c>
      <c r="T8" s="317">
        <f>SUM(Wheatland!T100,Wilton!T91,Gleason!T97)</f>
        <v>10411.340758341927</v>
      </c>
      <c r="U8" s="317">
        <f>SUM(Wheatland!U100,Wilton!U91,Gleason!U97)</f>
        <v>10776.721534711491</v>
      </c>
      <c r="V8" s="318"/>
      <c r="W8" s="319">
        <f>SUM(B8:U8)</f>
        <v>98796.595783345343</v>
      </c>
      <c r="X8" s="320">
        <f>SUM(Gleason!W97,Wheatland!W100,Wilton!W91)</f>
        <v>98796.595783345329</v>
      </c>
      <c r="Y8" s="160">
        <f>W8-X8</f>
        <v>0</v>
      </c>
    </row>
    <row r="9" spans="1:25">
      <c r="A9" s="14"/>
      <c r="B9" s="321"/>
      <c r="C9" s="321"/>
      <c r="D9" s="321"/>
      <c r="E9" s="321"/>
      <c r="F9" s="321"/>
      <c r="G9" s="321"/>
      <c r="H9" s="321"/>
      <c r="I9" s="321"/>
      <c r="J9" s="321"/>
      <c r="K9" s="321"/>
      <c r="L9" s="321"/>
      <c r="M9" s="321"/>
      <c r="N9" s="321"/>
      <c r="O9" s="321"/>
      <c r="P9" s="321"/>
      <c r="Q9" s="321"/>
      <c r="R9" s="321"/>
      <c r="S9" s="321"/>
      <c r="T9" s="321"/>
      <c r="U9" s="321"/>
      <c r="V9" s="318"/>
      <c r="W9" s="318"/>
    </row>
    <row r="10" spans="1:25">
      <c r="A10" s="38"/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2"/>
      <c r="Q10" s="322"/>
      <c r="R10" s="322"/>
      <c r="S10" s="322"/>
      <c r="T10" s="322"/>
      <c r="U10" s="322"/>
      <c r="V10" s="323"/>
      <c r="W10" s="323"/>
    </row>
    <row r="11" spans="1:25">
      <c r="A11" s="315" t="s">
        <v>77</v>
      </c>
      <c r="B11" s="267"/>
      <c r="C11" s="267"/>
      <c r="D11" s="267"/>
      <c r="E11" s="267"/>
      <c r="F11" s="267"/>
      <c r="G11" s="267"/>
      <c r="H11" s="267"/>
      <c r="I11" s="267"/>
      <c r="J11" s="267"/>
      <c r="K11" s="267"/>
      <c r="L11" s="267"/>
      <c r="M11" s="267"/>
      <c r="N11" s="267"/>
      <c r="O11" s="267"/>
      <c r="P11" s="267"/>
      <c r="Q11" s="267"/>
      <c r="R11" s="267"/>
      <c r="S11" s="267"/>
      <c r="T11" s="267"/>
      <c r="U11" s="267"/>
      <c r="V11" s="324"/>
      <c r="W11" s="324"/>
    </row>
    <row r="12" spans="1:25">
      <c r="A12" s="38" t="s">
        <v>235</v>
      </c>
      <c r="B12" s="322">
        <f>IS!B35</f>
        <v>39413.195089996894</v>
      </c>
      <c r="C12" s="322">
        <f>IS!C35</f>
        <v>44407.769885631104</v>
      </c>
      <c r="D12" s="322">
        <f>IS!D35</f>
        <v>49784.481623381667</v>
      </c>
      <c r="E12" s="322">
        <f>IS!E35</f>
        <v>55571.604232775135</v>
      </c>
      <c r="F12" s="322">
        <f>IS!F35</f>
        <v>62329.759599459008</v>
      </c>
      <c r="G12" s="322">
        <f>IS!G35</f>
        <v>65045.402063493959</v>
      </c>
      <c r="H12" s="322">
        <f>IS!H35</f>
        <v>67940.140262824483</v>
      </c>
      <c r="I12" s="322">
        <f>IS!I35</f>
        <v>70920.084599714057</v>
      </c>
      <c r="J12" s="322">
        <f>IS!J35</f>
        <v>74354.494276357815</v>
      </c>
      <c r="K12" s="322">
        <f>IS!K35</f>
        <v>77971.083035153104</v>
      </c>
      <c r="L12" s="322">
        <f>IS!L35</f>
        <v>82144.70126033519</v>
      </c>
      <c r="M12" s="322">
        <f>IS!M35</f>
        <v>87727.666192964796</v>
      </c>
      <c r="N12" s="322">
        <f>IS!N35</f>
        <v>93156.498278949293</v>
      </c>
      <c r="O12" s="322">
        <f>IS!O35</f>
        <v>98897.426183166783</v>
      </c>
      <c r="P12" s="322">
        <f>IS!P35</f>
        <v>104278.26847701456</v>
      </c>
      <c r="Q12" s="322">
        <f>IS!Q35</f>
        <v>110447.47494608985</v>
      </c>
      <c r="R12" s="322">
        <f>IS!R35</f>
        <v>116268.17332007684</v>
      </c>
      <c r="S12" s="322">
        <f>IS!S35</f>
        <v>121905.37296891618</v>
      </c>
      <c r="T12" s="322">
        <f>IS!T35</f>
        <v>127074.34034802414</v>
      </c>
      <c r="U12" s="322">
        <f>IS!U35</f>
        <v>132263.66162566244</v>
      </c>
      <c r="V12" s="323"/>
      <c r="W12" s="319">
        <f>SUM(B12:U12)</f>
        <v>1681901.5982699872</v>
      </c>
      <c r="X12" s="320">
        <f>SUM(Wheatland!W84,Wilton!W77,Gleason!W83)</f>
        <v>1681901.5982699872</v>
      </c>
      <c r="Y12" s="160">
        <f>W12-X12</f>
        <v>0</v>
      </c>
    </row>
    <row r="13" spans="1:25">
      <c r="A13" s="38" t="s">
        <v>119</v>
      </c>
      <c r="B13" s="322">
        <f>IS!B29</f>
        <v>24065.890704470534</v>
      </c>
      <c r="C13" s="322">
        <f>IS!C29</f>
        <v>24065.890704470534</v>
      </c>
      <c r="D13" s="322">
        <f>IS!D29</f>
        <v>24065.890704470534</v>
      </c>
      <c r="E13" s="322">
        <f>IS!E29</f>
        <v>24065.890704470534</v>
      </c>
      <c r="F13" s="322">
        <f>IS!F29</f>
        <v>24065.890704470534</v>
      </c>
      <c r="G13" s="322">
        <f>IS!G29</f>
        <v>24065.890704470534</v>
      </c>
      <c r="H13" s="322">
        <f>IS!H29</f>
        <v>24065.890704470534</v>
      </c>
      <c r="I13" s="322">
        <f>IS!I29</f>
        <v>24065.890704470534</v>
      </c>
      <c r="J13" s="322">
        <f>IS!J29</f>
        <v>24065.890704470534</v>
      </c>
      <c r="K13" s="322">
        <f>IS!K29</f>
        <v>24065.890704470534</v>
      </c>
      <c r="L13" s="322">
        <f>IS!L29</f>
        <v>24065.890704470534</v>
      </c>
      <c r="M13" s="322">
        <f>IS!M29</f>
        <v>24065.890704470534</v>
      </c>
      <c r="N13" s="322">
        <f>IS!N29</f>
        <v>24065.890704470534</v>
      </c>
      <c r="O13" s="322">
        <f>IS!O29</f>
        <v>24065.890704470534</v>
      </c>
      <c r="P13" s="322">
        <f>IS!P29</f>
        <v>24065.890704470534</v>
      </c>
      <c r="Q13" s="322">
        <f>IS!Q29</f>
        <v>24065.890704470534</v>
      </c>
      <c r="R13" s="322">
        <f>IS!R29</f>
        <v>24065.890704470534</v>
      </c>
      <c r="S13" s="322">
        <f>IS!S29</f>
        <v>24065.890704470534</v>
      </c>
      <c r="T13" s="322">
        <f>IS!T29</f>
        <v>24065.890704470534</v>
      </c>
      <c r="U13" s="322">
        <f>IS!U29</f>
        <v>24065.890704470534</v>
      </c>
      <c r="V13" s="323"/>
      <c r="W13" s="319">
        <f>SUM(B13:U13)</f>
        <v>481317.81408941053</v>
      </c>
      <c r="X13" s="320">
        <f>SUM(Wheatland!W85,Wilton!W78,Gleason!W84)</f>
        <v>481317.81408941076</v>
      </c>
      <c r="Y13" s="160">
        <f>W13-X13</f>
        <v>0</v>
      </c>
    </row>
    <row r="14" spans="1:25">
      <c r="A14" s="38" t="s">
        <v>177</v>
      </c>
      <c r="B14" s="267">
        <f>-Depreciation!C62</f>
        <v>-40109.817840784221</v>
      </c>
      <c r="C14" s="267">
        <f>-Depreciation!D62</f>
        <v>-76208.653897490032</v>
      </c>
      <c r="D14" s="267">
        <f>-Depreciation!E62</f>
        <v>-68587.788507741032</v>
      </c>
      <c r="E14" s="267">
        <f>-Depreciation!F62</f>
        <v>-61769.119474807711</v>
      </c>
      <c r="F14" s="267">
        <f>-Depreciation!G62</f>
        <v>-55592.207527326937</v>
      </c>
      <c r="G14" s="267">
        <f>-Depreciation!H62</f>
        <v>-49976.833029617148</v>
      </c>
      <c r="H14" s="267">
        <f>-Depreciation!I62</f>
        <v>-47329.585052125381</v>
      </c>
      <c r="I14" s="267">
        <f>-Depreciation!J62</f>
        <v>-47409.804687806958</v>
      </c>
      <c r="J14" s="267">
        <f>-Depreciation!K62</f>
        <v>-47329.585052125381</v>
      </c>
      <c r="K14" s="267">
        <f>-Depreciation!L62</f>
        <v>-47409.804687806958</v>
      </c>
      <c r="L14" s="267">
        <f>-Depreciation!M62</f>
        <v>-47329.585052125381</v>
      </c>
      <c r="M14" s="267">
        <f>-Depreciation!N62</f>
        <v>-47409.804687806958</v>
      </c>
      <c r="N14" s="267">
        <f>-Depreciation!O62</f>
        <v>-47329.585052125381</v>
      </c>
      <c r="O14" s="267">
        <f>-Depreciation!P62</f>
        <v>-47409.804687806958</v>
      </c>
      <c r="P14" s="267">
        <f>-Depreciation!Q62</f>
        <v>-47329.585052125381</v>
      </c>
      <c r="Q14" s="267">
        <f>-Depreciation!R62</f>
        <v>-23664.792526062691</v>
      </c>
      <c r="R14" s="267">
        <f>-Depreciation!S62</f>
        <v>0</v>
      </c>
      <c r="S14" s="267">
        <f>-Depreciation!T62</f>
        <v>0</v>
      </c>
      <c r="T14" s="267">
        <f>-Depreciation!U62</f>
        <v>0</v>
      </c>
      <c r="U14" s="267">
        <f>-Depreciation!V62</f>
        <v>0</v>
      </c>
      <c r="V14" s="323"/>
      <c r="W14" s="319">
        <f>SUM(B14:U14)</f>
        <v>-802196.35681568459</v>
      </c>
      <c r="X14" s="320">
        <f>SUM(Wheatland!W86,Wilton!W79,Gleason!W85)</f>
        <v>-802196.35681568459</v>
      </c>
      <c r="Y14" s="160">
        <f>W14-X14</f>
        <v>0</v>
      </c>
    </row>
    <row r="15" spans="1:25" ht="15">
      <c r="A15" s="38" t="s">
        <v>126</v>
      </c>
      <c r="B15" s="325">
        <f>-B8</f>
        <v>-1791.6692121988806</v>
      </c>
      <c r="C15" s="325">
        <f t="shared" ref="C15:U15" si="0">-C8</f>
        <v>-485.54021269266622</v>
      </c>
      <c r="D15" s="325">
        <f t="shared" si="0"/>
        <v>-790.67777468099484</v>
      </c>
      <c r="E15" s="325">
        <f t="shared" si="0"/>
        <v>-1324.9859526489649</v>
      </c>
      <c r="F15" s="325">
        <f t="shared" si="0"/>
        <v>-2186.705247209537</v>
      </c>
      <c r="G15" s="325">
        <f t="shared" si="0"/>
        <v>-2995.721300719189</v>
      </c>
      <c r="H15" s="325">
        <f t="shared" si="0"/>
        <v>-3362.4662499572623</v>
      </c>
      <c r="I15" s="325">
        <f t="shared" si="0"/>
        <v>-3569.2443813122154</v>
      </c>
      <c r="J15" s="325">
        <f t="shared" si="0"/>
        <v>-3818.7756895138477</v>
      </c>
      <c r="K15" s="325">
        <f t="shared" si="0"/>
        <v>-4072.11686884444</v>
      </c>
      <c r="L15" s="325">
        <f t="shared" si="0"/>
        <v>-4366.8506411060189</v>
      </c>
      <c r="M15" s="325">
        <f t="shared" si="0"/>
        <v>-4752.212797422475</v>
      </c>
      <c r="N15" s="325">
        <f t="shared" si="0"/>
        <v>-5140.112380759052</v>
      </c>
      <c r="O15" s="325">
        <f t="shared" si="0"/>
        <v>-5536.4360682808383</v>
      </c>
      <c r="P15" s="325">
        <f t="shared" si="0"/>
        <v>-5921.7196643703637</v>
      </c>
      <c r="Q15" s="325">
        <f t="shared" si="0"/>
        <v>-7795.3504876941442</v>
      </c>
      <c r="R15" s="325">
        <f t="shared" si="0"/>
        <v>-9650.5437186057043</v>
      </c>
      <c r="S15" s="325">
        <f t="shared" si="0"/>
        <v>-10047.404842275315</v>
      </c>
      <c r="T15" s="325">
        <f t="shared" si="0"/>
        <v>-10411.340758341927</v>
      </c>
      <c r="U15" s="325">
        <f t="shared" si="0"/>
        <v>-10776.721534711491</v>
      </c>
      <c r="V15" s="326"/>
      <c r="W15" s="319">
        <f>SUM(B15:U15)</f>
        <v>-98796.595783345343</v>
      </c>
      <c r="X15" s="320">
        <f>SUM(Gleason!W97,Wheatland!W100,Wilton!W91)</f>
        <v>98796.595783345329</v>
      </c>
      <c r="Y15" s="160">
        <f>X15+W15</f>
        <v>0</v>
      </c>
    </row>
    <row r="16" spans="1:25">
      <c r="A16" s="327" t="s">
        <v>176</v>
      </c>
      <c r="B16" s="328">
        <f t="shared" ref="B16:U16" si="1">SUM(B12:B15)</f>
        <v>21577.598741484326</v>
      </c>
      <c r="C16" s="328">
        <f t="shared" si="1"/>
        <v>-8220.5335200810532</v>
      </c>
      <c r="D16" s="328">
        <f t="shared" si="1"/>
        <v>4471.9060454301816</v>
      </c>
      <c r="E16" s="328">
        <f t="shared" si="1"/>
        <v>16543.389509789002</v>
      </c>
      <c r="F16" s="328">
        <f t="shared" si="1"/>
        <v>28616.737529393075</v>
      </c>
      <c r="G16" s="328">
        <f t="shared" si="1"/>
        <v>36138.738437628155</v>
      </c>
      <c r="H16" s="328">
        <f t="shared" si="1"/>
        <v>41313.979665212377</v>
      </c>
      <c r="I16" s="328">
        <f t="shared" si="1"/>
        <v>44006.926235065424</v>
      </c>
      <c r="J16" s="328">
        <f t="shared" si="1"/>
        <v>47272.02423918913</v>
      </c>
      <c r="K16" s="328">
        <f t="shared" si="1"/>
        <v>50555.052182972249</v>
      </c>
      <c r="L16" s="328">
        <f t="shared" si="1"/>
        <v>54514.156271574335</v>
      </c>
      <c r="M16" s="328">
        <f t="shared" si="1"/>
        <v>59631.539412205908</v>
      </c>
      <c r="N16" s="328">
        <f t="shared" si="1"/>
        <v>64752.691550535397</v>
      </c>
      <c r="O16" s="328">
        <f t="shared" si="1"/>
        <v>70017.076131549518</v>
      </c>
      <c r="P16" s="328">
        <f t="shared" si="1"/>
        <v>75092.854464989345</v>
      </c>
      <c r="Q16" s="328">
        <f t="shared" si="1"/>
        <v>103053.22263680355</v>
      </c>
      <c r="R16" s="328">
        <f t="shared" si="1"/>
        <v>130683.52030594167</v>
      </c>
      <c r="S16" s="328">
        <f t="shared" si="1"/>
        <v>135923.8588311114</v>
      </c>
      <c r="T16" s="328">
        <f t="shared" si="1"/>
        <v>140728.89029415275</v>
      </c>
      <c r="U16" s="328">
        <f t="shared" si="1"/>
        <v>145552.8307954215</v>
      </c>
      <c r="V16" s="329"/>
      <c r="W16" s="319"/>
      <c r="X16" s="320"/>
      <c r="Y16" s="160"/>
    </row>
    <row r="17" spans="1:25">
      <c r="A17" s="327"/>
      <c r="B17" s="328"/>
      <c r="C17" s="328"/>
      <c r="D17" s="328"/>
      <c r="E17" s="328"/>
      <c r="F17" s="328"/>
      <c r="G17" s="328"/>
      <c r="H17" s="328"/>
      <c r="I17" s="328"/>
      <c r="J17" s="328"/>
      <c r="K17" s="328"/>
      <c r="L17" s="328"/>
      <c r="M17" s="328"/>
      <c r="N17" s="328"/>
      <c r="O17" s="328"/>
      <c r="P17" s="328"/>
      <c r="Q17" s="328"/>
      <c r="R17" s="328"/>
      <c r="S17" s="328"/>
      <c r="T17" s="328"/>
      <c r="U17" s="328"/>
      <c r="V17" s="329"/>
      <c r="W17" s="329"/>
    </row>
    <row r="18" spans="1:25">
      <c r="A18" s="38" t="s">
        <v>127</v>
      </c>
      <c r="B18" s="330">
        <f>Assumptions!$G$37</f>
        <v>0.35</v>
      </c>
      <c r="C18" s="330">
        <f>Assumptions!$G$37</f>
        <v>0.35</v>
      </c>
      <c r="D18" s="330">
        <f>Assumptions!$G$37</f>
        <v>0.35</v>
      </c>
      <c r="E18" s="330">
        <f>Assumptions!$G$37</f>
        <v>0.35</v>
      </c>
      <c r="F18" s="330">
        <f>Assumptions!$G$37</f>
        <v>0.35</v>
      </c>
      <c r="G18" s="330">
        <f>Assumptions!$G$37</f>
        <v>0.35</v>
      </c>
      <c r="H18" s="330">
        <f>Assumptions!$G$37</f>
        <v>0.35</v>
      </c>
      <c r="I18" s="330">
        <f>Assumptions!$G$37</f>
        <v>0.35</v>
      </c>
      <c r="J18" s="330">
        <f>Assumptions!$G$37</f>
        <v>0.35</v>
      </c>
      <c r="K18" s="330">
        <f>Assumptions!$G$37</f>
        <v>0.35</v>
      </c>
      <c r="L18" s="330">
        <f>Assumptions!$G$37</f>
        <v>0.35</v>
      </c>
      <c r="M18" s="330">
        <f>Assumptions!$G$37</f>
        <v>0.35</v>
      </c>
      <c r="N18" s="330">
        <f>Assumptions!$G$37</f>
        <v>0.35</v>
      </c>
      <c r="O18" s="330">
        <f>Assumptions!$G$37</f>
        <v>0.35</v>
      </c>
      <c r="P18" s="330">
        <f>Assumptions!$G$37</f>
        <v>0.35</v>
      </c>
      <c r="Q18" s="330">
        <f>Assumptions!$G$37</f>
        <v>0.35</v>
      </c>
      <c r="R18" s="330">
        <f>Assumptions!$G$37</f>
        <v>0.35</v>
      </c>
      <c r="S18" s="330">
        <f>Assumptions!$G$37</f>
        <v>0.35</v>
      </c>
      <c r="T18" s="330">
        <f>Assumptions!$G$37</f>
        <v>0.35</v>
      </c>
      <c r="U18" s="330">
        <f>Assumptions!$G$37</f>
        <v>0.35</v>
      </c>
      <c r="V18" s="331"/>
      <c r="W18" s="331"/>
    </row>
    <row r="19" spans="1:25">
      <c r="A19" s="327" t="s">
        <v>128</v>
      </c>
      <c r="B19" s="328">
        <f t="shared" ref="B19:U19" si="2">B16*B18</f>
        <v>7552.1595595195131</v>
      </c>
      <c r="C19" s="328">
        <f t="shared" si="2"/>
        <v>-2877.1867320283686</v>
      </c>
      <c r="D19" s="328">
        <f t="shared" si="2"/>
        <v>1565.1671159005634</v>
      </c>
      <c r="E19" s="328">
        <f t="shared" si="2"/>
        <v>5790.1863284261499</v>
      </c>
      <c r="F19" s="328">
        <f t="shared" si="2"/>
        <v>10015.858135287575</v>
      </c>
      <c r="G19" s="328">
        <f t="shared" si="2"/>
        <v>12648.558453169853</v>
      </c>
      <c r="H19" s="328">
        <f t="shared" si="2"/>
        <v>14459.892882824332</v>
      </c>
      <c r="I19" s="328">
        <f t="shared" si="2"/>
        <v>15402.424182272898</v>
      </c>
      <c r="J19" s="328">
        <f t="shared" si="2"/>
        <v>16545.208483716193</v>
      </c>
      <c r="K19" s="328">
        <f t="shared" si="2"/>
        <v>17694.268264040285</v>
      </c>
      <c r="L19" s="328">
        <f t="shared" si="2"/>
        <v>19079.954695051016</v>
      </c>
      <c r="M19" s="328">
        <f t="shared" si="2"/>
        <v>20871.038794272066</v>
      </c>
      <c r="N19" s="328">
        <f t="shared" si="2"/>
        <v>22663.442042687388</v>
      </c>
      <c r="O19" s="328">
        <f t="shared" si="2"/>
        <v>24505.976646042331</v>
      </c>
      <c r="P19" s="328">
        <f t="shared" si="2"/>
        <v>26282.499062746268</v>
      </c>
      <c r="Q19" s="328">
        <f t="shared" si="2"/>
        <v>36068.627922881242</v>
      </c>
      <c r="R19" s="328">
        <f t="shared" si="2"/>
        <v>45739.232107079581</v>
      </c>
      <c r="S19" s="328">
        <f t="shared" si="2"/>
        <v>47573.350590888986</v>
      </c>
      <c r="T19" s="328">
        <f t="shared" si="2"/>
        <v>49255.111602953461</v>
      </c>
      <c r="U19" s="328">
        <f t="shared" si="2"/>
        <v>50943.490778397521</v>
      </c>
      <c r="V19" s="323"/>
      <c r="W19" s="323"/>
    </row>
    <row r="20" spans="1:25">
      <c r="A20" s="9"/>
      <c r="B20" s="267"/>
      <c r="C20" s="267"/>
      <c r="D20" s="267"/>
      <c r="E20" s="267"/>
      <c r="F20" s="267"/>
      <c r="G20" s="267"/>
      <c r="H20" s="267"/>
      <c r="I20" s="267"/>
      <c r="J20" s="267"/>
      <c r="K20" s="267"/>
      <c r="L20" s="267"/>
      <c r="M20" s="267"/>
      <c r="N20" s="267"/>
      <c r="O20" s="267"/>
      <c r="P20" s="267"/>
      <c r="Q20" s="267"/>
      <c r="R20" s="267"/>
      <c r="S20" s="267"/>
      <c r="T20" s="267"/>
      <c r="U20" s="267"/>
      <c r="V20" s="324"/>
      <c r="W20" s="324"/>
    </row>
    <row r="21" spans="1:25">
      <c r="A21" s="9" t="s">
        <v>197</v>
      </c>
      <c r="B21" s="332">
        <f>IF(B19&lt;0,-B19,0)</f>
        <v>0</v>
      </c>
      <c r="C21" s="332">
        <f>IF(C19&lt;0,-C19+B21-B22,B21-B22)</f>
        <v>2877.1867320283686</v>
      </c>
      <c r="D21" s="332">
        <f t="shared" ref="D21:U21" si="3">IF(D19&lt;0,-D19+C21-C22,C21-C22)</f>
        <v>2877.1867320283686</v>
      </c>
      <c r="E21" s="332">
        <f t="shared" si="3"/>
        <v>1312.0196161278052</v>
      </c>
      <c r="F21" s="332">
        <f t="shared" si="3"/>
        <v>0</v>
      </c>
      <c r="G21" s="332">
        <f t="shared" si="3"/>
        <v>0</v>
      </c>
      <c r="H21" s="332">
        <f t="shared" si="3"/>
        <v>0</v>
      </c>
      <c r="I21" s="332">
        <f t="shared" si="3"/>
        <v>0</v>
      </c>
      <c r="J21" s="332">
        <f t="shared" si="3"/>
        <v>0</v>
      </c>
      <c r="K21" s="332">
        <f t="shared" si="3"/>
        <v>0</v>
      </c>
      <c r="L21" s="332">
        <f t="shared" si="3"/>
        <v>0</v>
      </c>
      <c r="M21" s="332">
        <f t="shared" si="3"/>
        <v>0</v>
      </c>
      <c r="N21" s="332">
        <f t="shared" si="3"/>
        <v>0</v>
      </c>
      <c r="O21" s="332">
        <f t="shared" si="3"/>
        <v>0</v>
      </c>
      <c r="P21" s="332">
        <f t="shared" si="3"/>
        <v>0</v>
      </c>
      <c r="Q21" s="332">
        <f t="shared" si="3"/>
        <v>0</v>
      </c>
      <c r="R21" s="332">
        <f t="shared" si="3"/>
        <v>0</v>
      </c>
      <c r="S21" s="332">
        <f t="shared" si="3"/>
        <v>0</v>
      </c>
      <c r="T21" s="332">
        <f t="shared" si="3"/>
        <v>0</v>
      </c>
      <c r="U21" s="332">
        <f t="shared" si="3"/>
        <v>0</v>
      </c>
      <c r="V21" s="323"/>
      <c r="W21" s="323"/>
    </row>
    <row r="22" spans="1:25">
      <c r="A22" s="9" t="s">
        <v>124</v>
      </c>
      <c r="B22" s="322">
        <f t="shared" ref="B22:U22" si="4">IF(B19&lt;0,0,IF(B21&gt;B19,B19,B21))</f>
        <v>0</v>
      </c>
      <c r="C22" s="322">
        <f t="shared" si="4"/>
        <v>0</v>
      </c>
      <c r="D22" s="322">
        <f t="shared" si="4"/>
        <v>1565.1671159005634</v>
      </c>
      <c r="E22" s="322">
        <f t="shared" si="4"/>
        <v>1312.0196161278052</v>
      </c>
      <c r="F22" s="322">
        <f t="shared" si="4"/>
        <v>0</v>
      </c>
      <c r="G22" s="322">
        <f t="shared" si="4"/>
        <v>0</v>
      </c>
      <c r="H22" s="332">
        <f t="shared" si="4"/>
        <v>0</v>
      </c>
      <c r="I22" s="332">
        <f t="shared" si="4"/>
        <v>0</v>
      </c>
      <c r="J22" s="332">
        <f t="shared" si="4"/>
        <v>0</v>
      </c>
      <c r="K22" s="332">
        <f t="shared" si="4"/>
        <v>0</v>
      </c>
      <c r="L22" s="332">
        <f t="shared" si="4"/>
        <v>0</v>
      </c>
      <c r="M22" s="332">
        <f t="shared" si="4"/>
        <v>0</v>
      </c>
      <c r="N22" s="332">
        <f t="shared" si="4"/>
        <v>0</v>
      </c>
      <c r="O22" s="332">
        <f t="shared" si="4"/>
        <v>0</v>
      </c>
      <c r="P22" s="332">
        <f t="shared" si="4"/>
        <v>0</v>
      </c>
      <c r="Q22" s="332">
        <f t="shared" si="4"/>
        <v>0</v>
      </c>
      <c r="R22" s="332">
        <f t="shared" si="4"/>
        <v>0</v>
      </c>
      <c r="S22" s="332">
        <f t="shared" si="4"/>
        <v>0</v>
      </c>
      <c r="T22" s="332">
        <f t="shared" si="4"/>
        <v>0</v>
      </c>
      <c r="U22" s="332">
        <f t="shared" si="4"/>
        <v>0</v>
      </c>
      <c r="V22" s="333"/>
      <c r="W22" s="333"/>
    </row>
    <row r="23" spans="1:25">
      <c r="A23" s="9"/>
      <c r="B23" s="322"/>
      <c r="C23" s="322"/>
      <c r="D23" s="322"/>
      <c r="E23" s="322"/>
      <c r="F23" s="322"/>
      <c r="G23" s="322"/>
      <c r="H23" s="322"/>
      <c r="I23" s="322"/>
      <c r="J23" s="322"/>
      <c r="K23" s="322"/>
      <c r="L23" s="322"/>
      <c r="M23" s="322"/>
      <c r="N23" s="322"/>
      <c r="O23" s="322"/>
      <c r="P23" s="322"/>
      <c r="Q23" s="322"/>
      <c r="R23" s="322"/>
      <c r="S23" s="322"/>
      <c r="T23" s="322"/>
      <c r="U23" s="322"/>
      <c r="V23" s="323"/>
      <c r="W23" s="323"/>
    </row>
    <row r="24" spans="1:25" ht="13.5" thickBot="1">
      <c r="A24" s="14" t="s">
        <v>198</v>
      </c>
      <c r="B24" s="334">
        <f t="shared" ref="B24:T24" si="5">IF(B19&lt;0,0,(B19-B22))</f>
        <v>7552.1595595195131</v>
      </c>
      <c r="C24" s="334">
        <f t="shared" si="5"/>
        <v>0</v>
      </c>
      <c r="D24" s="334">
        <f t="shared" si="5"/>
        <v>0</v>
      </c>
      <c r="E24" s="334">
        <f t="shared" si="5"/>
        <v>4478.1667122983445</v>
      </c>
      <c r="F24" s="334">
        <f t="shared" si="5"/>
        <v>10015.858135287575</v>
      </c>
      <c r="G24" s="334">
        <f t="shared" si="5"/>
        <v>12648.558453169853</v>
      </c>
      <c r="H24" s="334">
        <f t="shared" si="5"/>
        <v>14459.892882824332</v>
      </c>
      <c r="I24" s="334">
        <f t="shared" si="5"/>
        <v>15402.424182272898</v>
      </c>
      <c r="J24" s="334">
        <f t="shared" si="5"/>
        <v>16545.208483716193</v>
      </c>
      <c r="K24" s="334">
        <f t="shared" si="5"/>
        <v>17694.268264040285</v>
      </c>
      <c r="L24" s="334">
        <f t="shared" si="5"/>
        <v>19079.954695051016</v>
      </c>
      <c r="M24" s="334">
        <f t="shared" si="5"/>
        <v>20871.038794272066</v>
      </c>
      <c r="N24" s="334">
        <f t="shared" si="5"/>
        <v>22663.442042687388</v>
      </c>
      <c r="O24" s="334">
        <f t="shared" si="5"/>
        <v>24505.976646042331</v>
      </c>
      <c r="P24" s="334">
        <f t="shared" si="5"/>
        <v>26282.499062746268</v>
      </c>
      <c r="Q24" s="334">
        <f t="shared" si="5"/>
        <v>36068.627922881242</v>
      </c>
      <c r="R24" s="334">
        <f t="shared" si="5"/>
        <v>45739.232107079581</v>
      </c>
      <c r="S24" s="334">
        <f t="shared" si="5"/>
        <v>47573.350590888986</v>
      </c>
      <c r="T24" s="334">
        <f t="shared" si="5"/>
        <v>49255.111602953461</v>
      </c>
      <c r="U24" s="334">
        <f>IF(U19&lt;0,0,(U19-U22))</f>
        <v>50943.490778397521</v>
      </c>
      <c r="V24" s="335"/>
      <c r="W24" s="319">
        <f>SUM(B24:U24)</f>
        <v>441779.26091612887</v>
      </c>
      <c r="X24" s="320">
        <f>SUM(Gleason!W56,Wheatland!W56,Wilton!W56)</f>
        <v>-441779.26091612881</v>
      </c>
      <c r="Y24" s="160">
        <f>X24+W24</f>
        <v>0</v>
      </c>
    </row>
    <row r="25" spans="1:25" ht="13.5" thickTop="1"/>
  </sheetData>
  <pageMargins left="0.75" right="0.75" top="1" bottom="1" header="0.5" footer="0.5"/>
  <pageSetup scale="57" orientation="landscape" r:id="rId1"/>
  <headerFooter alignWithMargins="0">
    <oddHeader>&amp;L&amp;12Enron's Generation&amp;RCONFIDENTIAL</oddHeader>
    <oddFooter>&amp;L&amp;D&amp;C&amp;F&amp;RPage &amp;P</oddFooter>
  </headerFooter>
  <colBreaks count="1" manualBreakCount="1">
    <brk id="11" min="1" max="38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S97"/>
  <sheetViews>
    <sheetView zoomScaleNormal="75" workbookViewId="0">
      <pane xSplit="1" ySplit="5" topLeftCell="B6" activePane="bottomRight" state="frozen"/>
      <selection pane="topRight"/>
      <selection pane="bottomLeft"/>
      <selection pane="bottomRight" activeCell="B6" sqref="B6"/>
    </sheetView>
  </sheetViews>
  <sheetFormatPr defaultRowHeight="12.75"/>
  <cols>
    <col min="1" max="1" width="48.7109375" style="6" customWidth="1"/>
    <col min="2" max="21" width="10.7109375" style="6" customWidth="1"/>
    <col min="22" max="22" width="9.140625" style="96"/>
    <col min="23" max="23" width="12.28515625" style="96" bestFit="1" customWidth="1"/>
    <col min="24" max="16384" width="9.140625" style="96"/>
  </cols>
  <sheetData>
    <row r="1" spans="1:45"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</row>
    <row r="2" spans="1:45" ht="18">
      <c r="A2" s="157" t="s">
        <v>136</v>
      </c>
      <c r="B2" s="336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</row>
    <row r="5" spans="1:45" ht="13.5" thickBot="1">
      <c r="A5" s="162" t="s">
        <v>49</v>
      </c>
      <c r="B5" s="163">
        <v>2001</v>
      </c>
      <c r="C5" s="163">
        <v>2002</v>
      </c>
      <c r="D5" s="163">
        <v>2003</v>
      </c>
      <c r="E5" s="163">
        <v>2004</v>
      </c>
      <c r="F5" s="163">
        <v>2005</v>
      </c>
      <c r="G5" s="163">
        <v>2006</v>
      </c>
      <c r="H5" s="163">
        <v>2007</v>
      </c>
      <c r="I5" s="163">
        <v>2008</v>
      </c>
      <c r="J5" s="163">
        <v>2009</v>
      </c>
      <c r="K5" s="163">
        <v>2010</v>
      </c>
      <c r="L5" s="163">
        <v>2011</v>
      </c>
      <c r="M5" s="163">
        <v>2012</v>
      </c>
      <c r="N5" s="163">
        <v>2013</v>
      </c>
      <c r="O5" s="163">
        <v>2014</v>
      </c>
      <c r="P5" s="163">
        <v>2015</v>
      </c>
      <c r="Q5" s="163">
        <v>2016</v>
      </c>
      <c r="R5" s="163">
        <v>2017</v>
      </c>
      <c r="S5" s="163">
        <v>2018</v>
      </c>
      <c r="T5" s="163">
        <v>2019</v>
      </c>
      <c r="U5" s="163">
        <v>2020</v>
      </c>
    </row>
    <row r="6" spans="1:45">
      <c r="A6" s="167"/>
      <c r="B6" s="168"/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</row>
    <row r="7" spans="1:45">
      <c r="A7" s="171" t="s">
        <v>50</v>
      </c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337"/>
      <c r="W7" s="337"/>
      <c r="X7" s="337"/>
      <c r="Y7" s="165">
        <f>SUM(Z7:AS7)-SUM(Z8:AS8)</f>
        <v>0</v>
      </c>
      <c r="Z7" s="166">
        <f>B10</f>
        <v>939.34705256873599</v>
      </c>
      <c r="AA7" s="166">
        <f>C10</f>
        <v>967.52746414579792</v>
      </c>
      <c r="AB7" s="166">
        <f>D10</f>
        <v>996.55328807017202</v>
      </c>
      <c r="AC7" s="166">
        <f t="shared" ref="AC7:AS7" si="0">E10</f>
        <v>1026.449886712277</v>
      </c>
      <c r="AD7" s="166">
        <f t="shared" si="0"/>
        <v>1057.2433833136454</v>
      </c>
      <c r="AE7" s="166">
        <f t="shared" si="0"/>
        <v>1088.9606848130547</v>
      </c>
      <c r="AF7" s="166">
        <f t="shared" si="0"/>
        <v>1121.6295053574463</v>
      </c>
      <c r="AG7" s="166">
        <f t="shared" si="0"/>
        <v>1155.2783905181698</v>
      </c>
      <c r="AH7" s="166">
        <f t="shared" si="0"/>
        <v>1189.9367422337148</v>
      </c>
      <c r="AI7" s="166">
        <f t="shared" si="0"/>
        <v>1225.6348445007263</v>
      </c>
      <c r="AJ7" s="166">
        <f t="shared" si="0"/>
        <v>1262.4038898357483</v>
      </c>
      <c r="AK7" s="166">
        <f t="shared" si="0"/>
        <v>1300.2760065308205</v>
      </c>
      <c r="AL7" s="166">
        <f t="shared" si="0"/>
        <v>1339.2842867267448</v>
      </c>
      <c r="AM7" s="166">
        <f t="shared" si="0"/>
        <v>1379.4628153285473</v>
      </c>
      <c r="AN7" s="166">
        <f t="shared" si="0"/>
        <v>1420.8466997884038</v>
      </c>
      <c r="AO7" s="166">
        <f t="shared" si="0"/>
        <v>1463.4721007820558</v>
      </c>
      <c r="AP7" s="166">
        <f t="shared" si="0"/>
        <v>1507.3762638055175</v>
      </c>
      <c r="AQ7" s="166">
        <f t="shared" si="0"/>
        <v>1552.597551719683</v>
      </c>
      <c r="AR7" s="166">
        <f t="shared" si="0"/>
        <v>1599.1754782712733</v>
      </c>
      <c r="AS7" s="166">
        <f t="shared" si="0"/>
        <v>1647.1507426194116</v>
      </c>
    </row>
    <row r="8" spans="1:45">
      <c r="A8" s="173" t="s">
        <v>227</v>
      </c>
      <c r="W8" s="172"/>
      <c r="X8" s="5"/>
      <c r="Y8" s="391">
        <v>0</v>
      </c>
      <c r="Z8" s="338">
        <f>B17+1/3*B18</f>
        <v>939.3470525687361</v>
      </c>
      <c r="AA8" s="338">
        <f>C17+1/3*C18</f>
        <v>967.52746414579826</v>
      </c>
      <c r="AB8" s="338">
        <f>D17+1/3*D18</f>
        <v>996.55328807017224</v>
      </c>
      <c r="AC8" s="338">
        <f t="shared" ref="AC8:AS8" si="1">E17+1/3*E18</f>
        <v>1026.449886712277</v>
      </c>
      <c r="AD8" s="338">
        <f t="shared" si="1"/>
        <v>1057.2433833136454</v>
      </c>
      <c r="AE8" s="338">
        <f t="shared" si="1"/>
        <v>1088.9606848130547</v>
      </c>
      <c r="AF8" s="338">
        <f t="shared" si="1"/>
        <v>1121.6295053574463</v>
      </c>
      <c r="AG8" s="338">
        <f t="shared" si="1"/>
        <v>1155.2783905181698</v>
      </c>
      <c r="AH8" s="338">
        <f t="shared" si="1"/>
        <v>1189.9367422337148</v>
      </c>
      <c r="AI8" s="338">
        <f t="shared" si="1"/>
        <v>1225.6348445007263</v>
      </c>
      <c r="AJ8" s="338">
        <f t="shared" si="1"/>
        <v>1262.4038898357483</v>
      </c>
      <c r="AK8" s="338">
        <f t="shared" si="1"/>
        <v>1300.2760065308205</v>
      </c>
      <c r="AL8" s="338">
        <f t="shared" si="1"/>
        <v>1339.284286726745</v>
      </c>
      <c r="AM8" s="338">
        <f t="shared" si="1"/>
        <v>1379.4628153285473</v>
      </c>
      <c r="AN8" s="338">
        <f t="shared" si="1"/>
        <v>1420.8466997884041</v>
      </c>
      <c r="AO8" s="338">
        <f t="shared" si="1"/>
        <v>1463.472100782056</v>
      </c>
      <c r="AP8" s="338">
        <f t="shared" si="1"/>
        <v>1507.3762638055177</v>
      </c>
      <c r="AQ8" s="338">
        <f t="shared" si="1"/>
        <v>1552.5975517196832</v>
      </c>
      <c r="AR8" s="338">
        <f t="shared" si="1"/>
        <v>1599.1754782712735</v>
      </c>
      <c r="AS8" s="338">
        <f t="shared" si="1"/>
        <v>1647.1507426194119</v>
      </c>
    </row>
    <row r="9" spans="1:45">
      <c r="A9" s="175" t="s">
        <v>51</v>
      </c>
      <c r="B9" s="180">
        <f>'Power Price Assumption'!C20*Assumptions!$C$9*12</f>
        <v>33979.299552548473</v>
      </c>
      <c r="C9" s="180">
        <f>'Power Price Assumption'!D20*Assumptions!$C$9*12</f>
        <v>35664.209969513919</v>
      </c>
      <c r="D9" s="180">
        <f>'Power Price Assumption'!E20*Assumptions!$C$9*12</f>
        <v>37432.668992559607</v>
      </c>
      <c r="E9" s="180">
        <f>'Power Price Assumption'!F20*Assumptions!$C$9*12</f>
        <v>39288.819494509924</v>
      </c>
      <c r="F9" s="180">
        <f>'Power Price Assumption'!G20*Assumptions!$C$9*12</f>
        <v>41237.009778250213</v>
      </c>
      <c r="G9" s="180">
        <f>'Power Price Assumption'!H20*Assumptions!$C$9*12</f>
        <v>41765.821079137233</v>
      </c>
      <c r="H9" s="180">
        <f>'Power Price Assumption'!I20*Assumptions!$C$9*12</f>
        <v>42301.41370081959</v>
      </c>
      <c r="I9" s="180">
        <f>'Power Price Assumption'!J20*Assumptions!$C$9*12</f>
        <v>42843.874604963254</v>
      </c>
      <c r="J9" s="180">
        <f>'Power Price Assumption'!K20*Assumptions!$C$9*12</f>
        <v>43393.291868405126</v>
      </c>
      <c r="K9" s="180">
        <f>'Power Price Assumption'!L20*Assumptions!$C$9*12</f>
        <v>43949.754697453536</v>
      </c>
      <c r="L9" s="180">
        <f>'Power Price Assumption'!M20*Assumptions!$C$9*12</f>
        <v>44781.378776473983</v>
      </c>
      <c r="M9" s="180">
        <f>'Power Price Assumption'!N20*Assumptions!$C$9*12</f>
        <v>45628.738975378772</v>
      </c>
      <c r="N9" s="180">
        <f>'Power Price Assumption'!O20*Assumptions!$C$9*12</f>
        <v>46492.133055470462</v>
      </c>
      <c r="O9" s="180">
        <f>'Power Price Assumption'!P20*Assumptions!$C$9*12</f>
        <v>47371.864412337192</v>
      </c>
      <c r="P9" s="180">
        <f>'Power Price Assumption'!Q20*Assumptions!$C$9*12</f>
        <v>48268.242182465561</v>
      </c>
      <c r="Q9" s="180">
        <f>'Power Price Assumption'!R20*Assumptions!$C$9*12</f>
        <v>48956.905260957668</v>
      </c>
      <c r="R9" s="180">
        <f>'Power Price Assumption'!S20*Assumptions!$C$9*12</f>
        <v>49655.393781898791</v>
      </c>
      <c r="S9" s="180">
        <f>'Power Price Assumption'!T20*Assumptions!$C$9*12</f>
        <v>50363.847928961215</v>
      </c>
      <c r="T9" s="180">
        <f>'Power Price Assumption'!U20*Assumptions!$C$9*12</f>
        <v>51082.409885875939</v>
      </c>
      <c r="U9" s="180">
        <f>'Power Price Assumption'!V20*Assumptions!$C$9*12</f>
        <v>51811.223864968488</v>
      </c>
      <c r="V9" s="339"/>
      <c r="W9" s="172">
        <f>SUM(B9:U9)</f>
        <v>886268.30186294869</v>
      </c>
      <c r="X9" s="5"/>
      <c r="Y9" s="165"/>
      <c r="Z9" s="169">
        <f>Z7-Z8</f>
        <v>0</v>
      </c>
      <c r="AA9" s="169">
        <f t="shared" ref="AA9:AS9" si="2">AA7-AA8</f>
        <v>0</v>
      </c>
      <c r="AB9" s="169">
        <f t="shared" si="2"/>
        <v>0</v>
      </c>
      <c r="AC9" s="169">
        <f t="shared" si="2"/>
        <v>0</v>
      </c>
      <c r="AD9" s="169">
        <f t="shared" si="2"/>
        <v>0</v>
      </c>
      <c r="AE9" s="169">
        <f t="shared" si="2"/>
        <v>0</v>
      </c>
      <c r="AF9" s="169">
        <f t="shared" si="2"/>
        <v>0</v>
      </c>
      <c r="AG9" s="169">
        <f t="shared" si="2"/>
        <v>0</v>
      </c>
      <c r="AH9" s="169">
        <f t="shared" si="2"/>
        <v>0</v>
      </c>
      <c r="AI9" s="169">
        <f t="shared" si="2"/>
        <v>0</v>
      </c>
      <c r="AJ9" s="169">
        <f t="shared" si="2"/>
        <v>0</v>
      </c>
      <c r="AK9" s="169">
        <f t="shared" si="2"/>
        <v>0</v>
      </c>
      <c r="AL9" s="169">
        <f t="shared" si="2"/>
        <v>0</v>
      </c>
      <c r="AM9" s="169">
        <f t="shared" si="2"/>
        <v>0</v>
      </c>
      <c r="AN9" s="169">
        <f t="shared" si="2"/>
        <v>0</v>
      </c>
      <c r="AO9" s="169">
        <f t="shared" si="2"/>
        <v>0</v>
      </c>
      <c r="AP9" s="169">
        <f t="shared" si="2"/>
        <v>0</v>
      </c>
      <c r="AQ9" s="169">
        <f t="shared" si="2"/>
        <v>0</v>
      </c>
      <c r="AR9" s="169">
        <f t="shared" si="2"/>
        <v>0</v>
      </c>
      <c r="AS9" s="169">
        <f t="shared" si="2"/>
        <v>0</v>
      </c>
    </row>
    <row r="10" spans="1:45">
      <c r="A10" s="175" t="s">
        <v>52</v>
      </c>
      <c r="B10" s="161">
        <f>1/3*Assumptions!$C$18*Assumptions!$C$11*Assumptions!$C$8/1000*(1+Assumptions!$C$25)^(B5-2000)+Assumptions!$C$19*Assumptions!$C$17*(1+Assumptions!$C$25)^(B5-2000)/1000</f>
        <v>939.34705256873599</v>
      </c>
      <c r="C10" s="161">
        <f>1/3*Assumptions!$C$18*Assumptions!$C$11*Assumptions!$C$8/1000*(1+Assumptions!$C$25)^(C5-2000)+Assumptions!$C$19*Assumptions!$C$17*(1+Assumptions!$C$25)^(C5-2000)/1000</f>
        <v>967.52746414579792</v>
      </c>
      <c r="D10" s="161">
        <f>1/3*Assumptions!$C$18*Assumptions!$C$11*Assumptions!$C$8/1000*(1+Assumptions!$C$25)^(D5-2000)+Assumptions!$C$19*Assumptions!$C$17*(1+Assumptions!$C$25)^(D5-2000)/1000</f>
        <v>996.55328807017202</v>
      </c>
      <c r="E10" s="161">
        <f>1/3*Assumptions!$C$18*Assumptions!$C$11*Assumptions!$C$8/1000*(1+Assumptions!$C$25)^(E5-2000)+Assumptions!$C$19*Assumptions!$C$17*(1+Assumptions!$C$25)^(E5-2000)/1000</f>
        <v>1026.449886712277</v>
      </c>
      <c r="F10" s="161">
        <f>1/3*Assumptions!$C$18*Assumptions!$C$11*Assumptions!$C$8/1000*(1+Assumptions!$C$25)^(F5-2000)+Assumptions!$C$19*Assumptions!$C$17*(1+Assumptions!$C$25)^(F5-2000)/1000</f>
        <v>1057.2433833136454</v>
      </c>
      <c r="G10" s="161">
        <f>1/3*Assumptions!$C$18*Assumptions!$C$11*Assumptions!$C$8/1000*(1+Assumptions!$C$25)^(G5-2000)+Assumptions!$C$19*Assumptions!$C$17*(1+Assumptions!$C$25)^(G5-2000)/1000</f>
        <v>1088.9606848130547</v>
      </c>
      <c r="H10" s="161">
        <f>1/3*Assumptions!$C$18*Assumptions!$C$11*Assumptions!$C$8/1000*(1+Assumptions!$C$25)^(H5-2000)+Assumptions!$C$19*Assumptions!$C$17*(1+Assumptions!$C$25)^(H5-2000)/1000</f>
        <v>1121.6295053574463</v>
      </c>
      <c r="I10" s="161">
        <f>1/3*Assumptions!$C$18*Assumptions!$C$11*Assumptions!$C$8/1000*(1+Assumptions!$C$25)^(I5-2000)+Assumptions!$C$19*Assumptions!$C$17*(1+Assumptions!$C$25)^(I5-2000)/1000</f>
        <v>1155.2783905181698</v>
      </c>
      <c r="J10" s="161">
        <f>1/3*Assumptions!$C$18*Assumptions!$C$11*Assumptions!$C$8/1000*(1+Assumptions!$C$25)^(J5-2000)+Assumptions!$C$19*Assumptions!$C$17*(1+Assumptions!$C$25)^(J5-2000)/1000</f>
        <v>1189.9367422337148</v>
      </c>
      <c r="K10" s="161">
        <f>1/3*Assumptions!$C$18*Assumptions!$C$11*Assumptions!$C$8/1000*(1+Assumptions!$C$25)^(K5-2000)+Assumptions!$C$19*Assumptions!$C$17*(1+Assumptions!$C$25)^(K5-2000)/1000</f>
        <v>1225.6348445007263</v>
      </c>
      <c r="L10" s="161">
        <f>1/3*Assumptions!$C$18*Assumptions!$C$11*Assumptions!$C$8/1000*(1+Assumptions!$C$25)^(L5-2000)+Assumptions!$C$19*Assumptions!$C$17*(1+Assumptions!$C$25)^(L5-2000)/1000</f>
        <v>1262.4038898357483</v>
      </c>
      <c r="M10" s="161">
        <f>1/3*Assumptions!$C$18*Assumptions!$C$11*Assumptions!$C$8/1000*(1+Assumptions!$C$25)^(M5-2000)+Assumptions!$C$19*Assumptions!$C$17*(1+Assumptions!$C$25)^(M5-2000)/1000</f>
        <v>1300.2760065308205</v>
      </c>
      <c r="N10" s="161">
        <f>1/3*Assumptions!$C$18*Assumptions!$C$11*Assumptions!$C$8/1000*(1+Assumptions!$C$25)^(N5-2000)+Assumptions!$C$19*Assumptions!$C$17*(1+Assumptions!$C$25)^(N5-2000)/1000</f>
        <v>1339.2842867267448</v>
      </c>
      <c r="O10" s="161">
        <f>1/3*Assumptions!$C$18*Assumptions!$C$11*Assumptions!$C$8/1000*(1+Assumptions!$C$25)^(O5-2000)+Assumptions!$C$19*Assumptions!$C$17*(1+Assumptions!$C$25)^(O5-2000)/1000</f>
        <v>1379.4628153285473</v>
      </c>
      <c r="P10" s="161">
        <f>1/3*Assumptions!$C$18*Assumptions!$C$11*Assumptions!$C$8/1000*(1+Assumptions!$C$25)^(P5-2000)+Assumptions!$C$19*Assumptions!$C$17*(1+Assumptions!$C$25)^(P5-2000)/1000</f>
        <v>1420.8466997884038</v>
      </c>
      <c r="Q10" s="161">
        <f>1/3*Assumptions!$C$18*Assumptions!$C$11*Assumptions!$C$8/1000*(1+Assumptions!$C$25)^(Q5-2000)+Assumptions!$C$19*Assumptions!$C$17*(1+Assumptions!$C$25)^(Q5-2000)/1000</f>
        <v>1463.4721007820558</v>
      </c>
      <c r="R10" s="161">
        <f>1/3*Assumptions!$C$18*Assumptions!$C$11*Assumptions!$C$8/1000*(1+Assumptions!$C$25)^(R5-2000)+Assumptions!$C$19*Assumptions!$C$17*(1+Assumptions!$C$25)^(R5-2000)/1000</f>
        <v>1507.3762638055175</v>
      </c>
      <c r="S10" s="161">
        <f>1/3*Assumptions!$C$18*Assumptions!$C$11*Assumptions!$C$8/1000*(1+Assumptions!$C$25)^(S5-2000)+Assumptions!$C$19*Assumptions!$C$17*(1+Assumptions!$C$25)^(S5-2000)/1000</f>
        <v>1552.597551719683</v>
      </c>
      <c r="T10" s="161">
        <f>1/3*Assumptions!$C$18*Assumptions!$C$11*Assumptions!$C$8/1000*(1+Assumptions!$C$25)^(T5-2000)+Assumptions!$C$19*Assumptions!$C$17*(1+Assumptions!$C$25)^(T5-2000)/1000</f>
        <v>1599.1754782712733</v>
      </c>
      <c r="U10" s="161">
        <f>1/3*Assumptions!$C$18*Assumptions!$C$11*Assumptions!$C$8/1000*(1+Assumptions!$C$25)^(U5-2000)+Assumptions!$C$19*Assumptions!$C$17*(1+Assumptions!$C$25)^(U5-2000)/1000</f>
        <v>1647.1507426194116</v>
      </c>
      <c r="V10" s="339"/>
      <c r="W10" s="172">
        <f>SUM(B10:U10)</f>
        <v>25240.607077641944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>
      <c r="A11" s="175"/>
      <c r="B11" s="339"/>
      <c r="C11" s="339"/>
      <c r="D11" s="339"/>
      <c r="E11" s="339"/>
      <c r="F11" s="339"/>
      <c r="G11" s="339"/>
      <c r="H11" s="339"/>
      <c r="I11" s="339"/>
      <c r="J11" s="339"/>
      <c r="K11" s="339"/>
      <c r="L11" s="339"/>
      <c r="M11" s="339"/>
      <c r="N11" s="339"/>
      <c r="O11" s="339"/>
      <c r="P11" s="339"/>
      <c r="Q11" s="339"/>
      <c r="R11" s="339"/>
      <c r="S11" s="339"/>
      <c r="T11" s="339"/>
      <c r="U11" s="339"/>
      <c r="V11" s="339"/>
      <c r="W11" s="172">
        <f>SUM(B11:U11)</f>
        <v>0</v>
      </c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</row>
    <row r="12" spans="1:45">
      <c r="A12" s="175" t="s">
        <v>152</v>
      </c>
      <c r="B12" s="272">
        <f>(SUM(B8:B10)-SUM(B16:B21))*'Summary Output'!$B$24/4</f>
        <v>391.90533024290471</v>
      </c>
      <c r="C12" s="272">
        <f>(SUM(C8:C10)-SUM(C16:C21))*'Summary Output'!$B$24/4</f>
        <v>410.33010975626951</v>
      </c>
      <c r="D12" s="272">
        <f>(SUM(D8:D10)-SUM(D16:D21))*'Summary Output'!$B$24/4</f>
        <v>430.86888331615523</v>
      </c>
      <c r="E12" s="272">
        <f>(SUM(E8:E10)-SUM(E16:E21))*'Summary Output'!$B$24/4</f>
        <v>453.57281467698215</v>
      </c>
      <c r="F12" s="272">
        <f>(SUM(F8:F10)-SUM(F16:F21))*'Summary Output'!$B$24/4</f>
        <v>477.40524180425609</v>
      </c>
      <c r="G12" s="272">
        <f>(SUM(G8:G10)-SUM(G16:G21))*'Summary Output'!$B$24/4</f>
        <v>482.38239509475881</v>
      </c>
      <c r="H12" s="272">
        <f>(SUM(H8:H10)-SUM(H16:H21))*'Summary Output'!$B$24/4</f>
        <v>488.51134849756454</v>
      </c>
      <c r="I12" s="272">
        <f>(SUM(I8:I10)-SUM(I16:I21))*'Summary Output'!$B$24/4</f>
        <v>494.70211379156899</v>
      </c>
      <c r="J12" s="272">
        <f>(SUM(J8:J10)-SUM(J16:J21))*'Summary Output'!$B$24/4</f>
        <v>500.95507068804619</v>
      </c>
      <c r="K12" s="272">
        <f>(SUM(K8:K10)-SUM(K16:K21))*'Summary Output'!$B$24/4</f>
        <v>507.27059137918764</v>
      </c>
      <c r="L12" s="272">
        <f>(SUM(L8:L10)-SUM(L16:L21))*'Summary Output'!$B$24/4</f>
        <v>516.99935674629967</v>
      </c>
      <c r="M12" s="272">
        <f>(SUM(M8:M10)-SUM(M16:M21))*'Summary Output'!$B$24/4</f>
        <v>526.89776453482557</v>
      </c>
      <c r="N12" s="272">
        <f>(SUM(N8:N10)-SUM(N16:N21))*'Summary Output'!$B$24/4</f>
        <v>532.60722498873326</v>
      </c>
      <c r="O12" s="272">
        <f>(SUM(O8:O10)-SUM(O16:O21))*'Summary Output'!$B$24/4</f>
        <v>542.85369442739056</v>
      </c>
      <c r="P12" s="272">
        <f>(SUM(P8:P10)-SUM(P16:P21))*'Summary Output'!$B$24/4</f>
        <v>547.82680084763217</v>
      </c>
      <c r="Q12" s="272">
        <f>(SUM(Q8:Q10)-SUM(Q16:Q21))*'Summary Output'!$B$24/4</f>
        <v>562.68138033020853</v>
      </c>
      <c r="R12" s="272">
        <f>(SUM(R8:R10)-SUM(R16:R21))*'Summary Output'!$B$24/4</f>
        <v>570.38493925804437</v>
      </c>
      <c r="S12" s="272">
        <f>(SUM(S8:S10)-SUM(S16:S21))*'Summary Output'!$B$24/4</f>
        <v>578.17703890397001</v>
      </c>
      <c r="T12" s="272">
        <f>(SUM(T8:T10)-SUM(T16:T21))*'Summary Output'!$B$24/4</f>
        <v>586.0584128729223</v>
      </c>
      <c r="U12" s="272">
        <f>(SUM(U8:U10)-SUM(U16:U21))*'Summary Output'!$B$24/4</f>
        <v>594.02978956045024</v>
      </c>
      <c r="V12" s="339"/>
      <c r="W12" s="172">
        <f>SUM(B12:U12)</f>
        <v>10196.420301718172</v>
      </c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</row>
    <row r="13" spans="1:45">
      <c r="A13" s="175" t="s">
        <v>53</v>
      </c>
      <c r="B13" s="204">
        <f t="shared" ref="B13:U13" si="3">SUM(B8:B12)</f>
        <v>35310.551935360112</v>
      </c>
      <c r="C13" s="204">
        <f t="shared" si="3"/>
        <v>37042.067543415986</v>
      </c>
      <c r="D13" s="204">
        <f t="shared" si="3"/>
        <v>38860.091163945937</v>
      </c>
      <c r="E13" s="204">
        <f t="shared" si="3"/>
        <v>40768.842195899182</v>
      </c>
      <c r="F13" s="204">
        <f t="shared" si="3"/>
        <v>42771.658403368114</v>
      </c>
      <c r="G13" s="204">
        <f t="shared" si="3"/>
        <v>43337.164159045045</v>
      </c>
      <c r="H13" s="204">
        <f t="shared" si="3"/>
        <v>43911.5545546746</v>
      </c>
      <c r="I13" s="204">
        <f t="shared" si="3"/>
        <v>44493.85510927299</v>
      </c>
      <c r="J13" s="204">
        <f t="shared" si="3"/>
        <v>45084.183681326889</v>
      </c>
      <c r="K13" s="204">
        <f t="shared" si="3"/>
        <v>45682.660133333447</v>
      </c>
      <c r="L13" s="204">
        <f t="shared" si="3"/>
        <v>46560.782023056032</v>
      </c>
      <c r="M13" s="204">
        <f t="shared" si="3"/>
        <v>47455.912746444417</v>
      </c>
      <c r="N13" s="204">
        <f t="shared" si="3"/>
        <v>48364.024567185945</v>
      </c>
      <c r="O13" s="204">
        <f t="shared" si="3"/>
        <v>49294.180922093125</v>
      </c>
      <c r="P13" s="204">
        <f t="shared" si="3"/>
        <v>50236.915683101593</v>
      </c>
      <c r="Q13" s="204">
        <f t="shared" si="3"/>
        <v>50983.05874206993</v>
      </c>
      <c r="R13" s="204">
        <f t="shared" si="3"/>
        <v>51733.154984962355</v>
      </c>
      <c r="S13" s="204">
        <f t="shared" si="3"/>
        <v>52494.622519584867</v>
      </c>
      <c r="T13" s="204">
        <f t="shared" si="3"/>
        <v>53267.643777020137</v>
      </c>
      <c r="U13" s="204">
        <f t="shared" si="3"/>
        <v>54052.404397148355</v>
      </c>
      <c r="V13" s="339"/>
      <c r="W13" s="172">
        <f>SUM(B13:U13)</f>
        <v>921705.32924230909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>
      <c r="A14" s="340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339"/>
      <c r="W14" s="172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s="339" customFormat="1">
      <c r="A15" s="171" t="s">
        <v>54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96"/>
      <c r="W15" s="172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s="339" customFormat="1">
      <c r="A16" s="175" t="s">
        <v>41</v>
      </c>
      <c r="B16" s="161">
        <f>Assumptions!C28*(1+Assumptions!$C$25)</f>
        <v>1279.7561657142855</v>
      </c>
      <c r="C16" s="172">
        <f>B16*(1+Assumptions!$C$25)</f>
        <v>1318.1488506857143</v>
      </c>
      <c r="D16" s="172">
        <f>C16*(1+Assumptions!$C$25)</f>
        <v>1357.6933162062858</v>
      </c>
      <c r="E16" s="172">
        <f>D16*(1+Assumptions!$C$25)</f>
        <v>1398.4241156924743</v>
      </c>
      <c r="F16" s="172">
        <f>E16*(1+Assumptions!$C$25)</f>
        <v>1440.3768391632486</v>
      </c>
      <c r="G16" s="172">
        <f>F16*(1+Assumptions!$C$25)</f>
        <v>1483.5881443381461</v>
      </c>
      <c r="H16" s="172">
        <f>G16*(1+Assumptions!$C$25)</f>
        <v>1528.0957886682904</v>
      </c>
      <c r="I16" s="172">
        <f>H16*(1+Assumptions!$C$25)</f>
        <v>1573.9386623283392</v>
      </c>
      <c r="J16" s="172">
        <f>I16*(1+Assumptions!$C$25)</f>
        <v>1621.1568221981895</v>
      </c>
      <c r="K16" s="172">
        <f>J16*(1+Assumptions!$C$25)</f>
        <v>1669.7915268641352</v>
      </c>
      <c r="L16" s="172">
        <f>K16*(1+Assumptions!$C$25)</f>
        <v>1719.8852726700593</v>
      </c>
      <c r="M16" s="172">
        <f>L16*(1+Assumptions!$C$25)</f>
        <v>1771.481830850161</v>
      </c>
      <c r="N16" s="172">
        <f>M16*(1+Assumptions!$C$25)</f>
        <v>1824.626285775666</v>
      </c>
      <c r="O16" s="172">
        <f>N16*(1+Assumptions!$C$25)</f>
        <v>1879.3650743489361</v>
      </c>
      <c r="P16" s="172">
        <f>O16*(1+Assumptions!$C$25)</f>
        <v>1935.7460265794043</v>
      </c>
      <c r="Q16" s="172">
        <f>P16*(1+Assumptions!$C$25)</f>
        <v>1993.8184073767866</v>
      </c>
      <c r="R16" s="172">
        <f>Q16*(1+Assumptions!$C$25)</f>
        <v>2053.6329595980901</v>
      </c>
      <c r="S16" s="172">
        <f>R16*(1+Assumptions!$C$25)</f>
        <v>2115.2419483860331</v>
      </c>
      <c r="T16" s="172">
        <f>S16*(1+Assumptions!$C$25)</f>
        <v>2178.6992068376139</v>
      </c>
      <c r="U16" s="172">
        <f>T16*(1+Assumptions!$C$25)</f>
        <v>2244.0601830427422</v>
      </c>
      <c r="V16" s="96"/>
      <c r="W16" s="172">
        <f t="shared" ref="W16:W22" si="4">SUM(B16:U16)</f>
        <v>34387.527427324596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 s="339" customFormat="1">
      <c r="A17" s="175" t="s">
        <v>42</v>
      </c>
      <c r="B17" s="161">
        <f>Assumptions!$C$29*(1+Assumptions!$C$25)</f>
        <v>823.4720525687361</v>
      </c>
      <c r="C17" s="204">
        <f>B17*(1+Assumptions!$C$25)</f>
        <v>848.17621414579821</v>
      </c>
      <c r="D17" s="204">
        <f>C17*(1+Assumptions!$C$25)</f>
        <v>873.6215005701722</v>
      </c>
      <c r="E17" s="161">
        <f>Assumptions!$C$19*Assumptions!$C$23*(1+Assumptions!$C$25)^(E5-2000)/1000</f>
        <v>899.83014558727712</v>
      </c>
      <c r="F17" s="161">
        <f>Assumptions!$C$19*Assumptions!$C$23*(1+Assumptions!$C$25)^(F5-2000)/1000</f>
        <v>926.82504995489535</v>
      </c>
      <c r="G17" s="161">
        <f>Assumptions!$C$19*Assumptions!$C$23*(1+Assumptions!$C$25)^(G5-2000)/1000</f>
        <v>954.62980145354231</v>
      </c>
      <c r="H17" s="161">
        <f>Assumptions!$C$19*Assumptions!$C$23*(1+Assumptions!$C$25)^(H5-2000)/1000</f>
        <v>983.26869549714854</v>
      </c>
      <c r="I17" s="161">
        <f>Assumptions!$C$19*Assumptions!$C$23*(1+Assumptions!$C$25)^(I5-2000)/1000</f>
        <v>1012.7667563620629</v>
      </c>
      <c r="J17" s="161">
        <f>Assumptions!$C$19*Assumptions!$C$23*(1+Assumptions!$C$25)^(J5-2000)/1000</f>
        <v>1043.1497590529248</v>
      </c>
      <c r="K17" s="161">
        <f>Assumptions!$C$19*Assumptions!$C$23*(1+Assumptions!$C$25)^(K5-2000)/1000</f>
        <v>1074.4442518245125</v>
      </c>
      <c r="L17" s="161">
        <f>Assumptions!$C$19*Assumptions!$C$23*(1+Assumptions!$C$25)^(L5-2000)/1000</f>
        <v>1106.6775793792481</v>
      </c>
      <c r="M17" s="161">
        <f>Assumptions!$C$19*Assumptions!$C$23*(1+Assumptions!$C$25)^(M5-2000)/1000</f>
        <v>1139.8779067606254</v>
      </c>
      <c r="N17" s="161">
        <f>Assumptions!$C$19*Assumptions!$C$23*(1+Assumptions!$C$25)^(N5-2000)/1000</f>
        <v>1174.0742439634439</v>
      </c>
      <c r="O17" s="161">
        <f>Assumptions!$C$19*Assumptions!$C$23*(1+Assumptions!$C$25)^(O5-2000)/1000</f>
        <v>1209.2964712823473</v>
      </c>
      <c r="P17" s="161">
        <f>Assumptions!$C$19*Assumptions!$C$23*(1+Assumptions!$C$25)^(P5-2000)/1000</f>
        <v>1245.5753654208179</v>
      </c>
      <c r="Q17" s="161">
        <f>Assumptions!$C$19*Assumptions!$C$23*(1+Assumptions!$C$25)^(Q5-2000)/1000</f>
        <v>1282.9426263834423</v>
      </c>
      <c r="R17" s="161">
        <f>Assumptions!$C$19*Assumptions!$C$23*(1+Assumptions!$C$25)^(R5-2000)/1000</f>
        <v>1321.4309051749456</v>
      </c>
      <c r="S17" s="161">
        <f>Assumptions!$C$19*Assumptions!$C$23*(1+Assumptions!$C$25)^(S5-2000)/1000</f>
        <v>1361.0738323301939</v>
      </c>
      <c r="T17" s="161">
        <f>Assumptions!$C$19*Assumptions!$C$23*(1+Assumptions!$C$25)^(T5-2000)/1000</f>
        <v>1401.9060473000995</v>
      </c>
      <c r="U17" s="161">
        <f>Assumptions!$C$19*Assumptions!$C$23*(1+Assumptions!$C$25)^(U5-2000)/1000</f>
        <v>1443.9632287191027</v>
      </c>
      <c r="V17" s="96"/>
      <c r="W17" s="172">
        <f t="shared" si="4"/>
        <v>22127.002433731333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s="339" customFormat="1">
      <c r="A18" s="175" t="s">
        <v>217</v>
      </c>
      <c r="B18" s="161">
        <f>Assumptions!$C$24*Assumptions!$C$11*Assumptions!$C$8/1000*(1+Assumptions!$C$25)</f>
        <v>347.625</v>
      </c>
      <c r="C18" s="172">
        <f>B18*(1+Assumptions!$C$25)</f>
        <v>358.05375000000004</v>
      </c>
      <c r="D18" s="172">
        <f>C18*(1+Assumptions!$C$25)</f>
        <v>368.79536250000007</v>
      </c>
      <c r="E18" s="172">
        <f>D18*(1+Assumptions!$C$25)</f>
        <v>379.85922337500006</v>
      </c>
      <c r="F18" s="172">
        <f>E18*(1+Assumptions!$C$25)</f>
        <v>391.25500007625004</v>
      </c>
      <c r="G18" s="172">
        <f>F18*(1+Assumptions!$C$25)</f>
        <v>402.99265007853757</v>
      </c>
      <c r="H18" s="172">
        <f>G18*(1+Assumptions!$C$25)</f>
        <v>415.08242958089369</v>
      </c>
      <c r="I18" s="172">
        <f>H18*(1+Assumptions!$C$25)</f>
        <v>427.53490246832052</v>
      </c>
      <c r="J18" s="172">
        <f>I18*(1+Assumptions!$C$25)</f>
        <v>440.36094954237018</v>
      </c>
      <c r="K18" s="172">
        <f>J18*(1+Assumptions!$C$25)</f>
        <v>453.57177802864129</v>
      </c>
      <c r="L18" s="172">
        <f>K18*(1+Assumptions!$C$25)</f>
        <v>467.17893136950056</v>
      </c>
      <c r="M18" s="172">
        <f>L18*(1+Assumptions!$C$25)</f>
        <v>481.19429931058556</v>
      </c>
      <c r="N18" s="172">
        <f>M18*(1+Assumptions!$C$25)</f>
        <v>495.63012828990315</v>
      </c>
      <c r="O18" s="172">
        <f>N18*(1+Assumptions!$C$25)</f>
        <v>510.49903213860028</v>
      </c>
      <c r="P18" s="172">
        <f>O18*(1+Assumptions!$C$25)</f>
        <v>525.81400310275831</v>
      </c>
      <c r="Q18" s="172">
        <f>P18*(1+Assumptions!$C$25)</f>
        <v>541.58842319584107</v>
      </c>
      <c r="R18" s="172">
        <f>Q18*(1+Assumptions!$C$25)</f>
        <v>557.83607589171629</v>
      </c>
      <c r="S18" s="172">
        <f>R18*(1+Assumptions!$C$25)</f>
        <v>574.57115816846783</v>
      </c>
      <c r="T18" s="172">
        <f>S18*(1+Assumptions!$C$25)</f>
        <v>591.80829291352188</v>
      </c>
      <c r="U18" s="172">
        <f>T18*(1+Assumptions!$C$25)</f>
        <v>609.56254170092757</v>
      </c>
      <c r="V18" s="96"/>
      <c r="W18" s="172">
        <f t="shared" si="4"/>
        <v>9340.8139317318364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s="339" customFormat="1">
      <c r="A19" s="175" t="s">
        <v>99</v>
      </c>
      <c r="B19" s="161">
        <f>Assumptions!C31*(1+Assumptions!$C$25)</f>
        <v>331.91867714285718</v>
      </c>
      <c r="C19" s="172">
        <f>B19*(1+Assumptions!$C$25)</f>
        <v>341.87623745714291</v>
      </c>
      <c r="D19" s="172">
        <f>C19*(1+Assumptions!$C$25)</f>
        <v>352.13252458085719</v>
      </c>
      <c r="E19" s="172">
        <f>D19*(1+Assumptions!$C$25)</f>
        <v>362.69650031828292</v>
      </c>
      <c r="F19" s="172">
        <f>E19*(1+Assumptions!$C$25)</f>
        <v>373.57739532783143</v>
      </c>
      <c r="G19" s="172">
        <f>F19*(1+Assumptions!$C$25)</f>
        <v>384.78471718766639</v>
      </c>
      <c r="H19" s="172">
        <f>G19*(1+Assumptions!$C$25)</f>
        <v>396.3282587032964</v>
      </c>
      <c r="I19" s="172">
        <f>H19*(1+Assumptions!$C$25)</f>
        <v>408.21810646439531</v>
      </c>
      <c r="J19" s="172">
        <f>I19*(1+Assumptions!$C$25)</f>
        <v>420.46464965832718</v>
      </c>
      <c r="K19" s="172">
        <f>J19*(1+Assumptions!$C$25)</f>
        <v>433.07858914807701</v>
      </c>
      <c r="L19" s="172">
        <f>K19*(1+Assumptions!$C$25)</f>
        <v>446.07094682251932</v>
      </c>
      <c r="M19" s="172">
        <f>L19*(1+Assumptions!$C$25)</f>
        <v>459.45307522719492</v>
      </c>
      <c r="N19" s="172">
        <f>M19*(1+Assumptions!$C$25)</f>
        <v>473.23666748401075</v>
      </c>
      <c r="O19" s="172">
        <f>N19*(1+Assumptions!$C$25)</f>
        <v>487.4337675085311</v>
      </c>
      <c r="P19" s="172">
        <f>O19*(1+Assumptions!$C$25)</f>
        <v>502.05678053378705</v>
      </c>
      <c r="Q19" s="172">
        <f>P19*(1+Assumptions!$C$25)</f>
        <v>517.11848394980063</v>
      </c>
      <c r="R19" s="172">
        <f>Q19*(1+Assumptions!$C$25)</f>
        <v>532.6320384682947</v>
      </c>
      <c r="S19" s="172">
        <f>R19*(1+Assumptions!$C$25)</f>
        <v>548.61099962234357</v>
      </c>
      <c r="T19" s="172">
        <f>S19*(1+Assumptions!$C$25)</f>
        <v>565.06932961101393</v>
      </c>
      <c r="U19" s="172">
        <f>T19*(1+Assumptions!$C$25)</f>
        <v>582.02140949934437</v>
      </c>
      <c r="V19" s="96"/>
      <c r="W19" s="172">
        <f t="shared" si="4"/>
        <v>8918.7791547155739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s="339" customFormat="1">
      <c r="A20" s="175" t="s">
        <v>170</v>
      </c>
      <c r="B20" s="341">
        <v>174.46</v>
      </c>
      <c r="C20" s="341">
        <v>348.92</v>
      </c>
      <c r="D20" s="341">
        <v>436.15</v>
      </c>
      <c r="E20" s="341">
        <v>436.15</v>
      </c>
      <c r="F20" s="341">
        <v>436.15</v>
      </c>
      <c r="G20" s="341">
        <v>523.38</v>
      </c>
      <c r="H20" s="341">
        <v>523.38</v>
      </c>
      <c r="I20" s="341">
        <v>523.38</v>
      </c>
      <c r="J20" s="341">
        <v>523.38</v>
      </c>
      <c r="K20" s="341">
        <v>523.38</v>
      </c>
      <c r="L20" s="341">
        <v>523.38</v>
      </c>
      <c r="M20" s="341">
        <v>523.38</v>
      </c>
      <c r="N20" s="341">
        <v>872.3</v>
      </c>
      <c r="O20" s="341">
        <v>872.3</v>
      </c>
      <c r="P20" s="341">
        <v>1308.45</v>
      </c>
      <c r="Q20" s="341">
        <v>743.93104499999993</v>
      </c>
      <c r="R20" s="341">
        <v>758.80966589999991</v>
      </c>
      <c r="S20" s="341">
        <v>773.98585921799997</v>
      </c>
      <c r="T20" s="341">
        <v>789.46557640235994</v>
      </c>
      <c r="U20" s="341">
        <v>805.25488793040722</v>
      </c>
      <c r="V20" s="96"/>
      <c r="W20" s="172">
        <f t="shared" si="4"/>
        <v>12419.987034450767</v>
      </c>
    </row>
    <row r="21" spans="1:45">
      <c r="A21" s="175" t="s">
        <v>168</v>
      </c>
      <c r="B21" s="179">
        <f>B78</f>
        <v>608.98829025895418</v>
      </c>
      <c r="C21" s="179">
        <f t="shared" ref="C21:U21" si="5">C78</f>
        <v>590.15360086950193</v>
      </c>
      <c r="D21" s="179">
        <f t="shared" si="5"/>
        <v>571.31891148004979</v>
      </c>
      <c r="E21" s="179">
        <f t="shared" si="5"/>
        <v>552.48422209059765</v>
      </c>
      <c r="F21" s="179">
        <f t="shared" si="5"/>
        <v>533.6495327011454</v>
      </c>
      <c r="G21" s="179">
        <f t="shared" si="5"/>
        <v>514.81484331169327</v>
      </c>
      <c r="H21" s="179">
        <f t="shared" si="5"/>
        <v>495.98015392224107</v>
      </c>
      <c r="I21" s="179">
        <f t="shared" si="5"/>
        <v>477.14546453278894</v>
      </c>
      <c r="J21" s="179">
        <f t="shared" si="5"/>
        <v>458.31077514333674</v>
      </c>
      <c r="K21" s="179">
        <f t="shared" si="5"/>
        <v>439.47608575388455</v>
      </c>
      <c r="L21" s="179">
        <f t="shared" si="5"/>
        <v>420.64139636443235</v>
      </c>
      <c r="M21" s="179">
        <f t="shared" si="5"/>
        <v>401.80670697498022</v>
      </c>
      <c r="N21" s="179">
        <f t="shared" si="5"/>
        <v>382.97201758552802</v>
      </c>
      <c r="O21" s="179">
        <f t="shared" si="5"/>
        <v>364.13732819607583</v>
      </c>
      <c r="P21" s="179">
        <f t="shared" si="5"/>
        <v>345.30263880662363</v>
      </c>
      <c r="Q21" s="179">
        <f t="shared" si="5"/>
        <v>326.4679494171715</v>
      </c>
      <c r="R21" s="179">
        <f t="shared" si="5"/>
        <v>307.6332600277193</v>
      </c>
      <c r="S21" s="179">
        <f t="shared" si="5"/>
        <v>288.79857063826711</v>
      </c>
      <c r="T21" s="179">
        <f t="shared" si="5"/>
        <v>269.96388124881497</v>
      </c>
      <c r="U21" s="179">
        <f t="shared" si="5"/>
        <v>251.12919185936278</v>
      </c>
      <c r="V21" s="172"/>
      <c r="W21" s="172">
        <f t="shared" si="4"/>
        <v>8601.1748211831709</v>
      </c>
    </row>
    <row r="22" spans="1:45">
      <c r="A22" s="175" t="s">
        <v>55</v>
      </c>
      <c r="B22" s="161">
        <f t="shared" ref="B22:U22" si="6">SUM(B16:B21)</f>
        <v>3566.2201856848333</v>
      </c>
      <c r="C22" s="161">
        <f t="shared" si="6"/>
        <v>3805.3286531581575</v>
      </c>
      <c r="D22" s="161">
        <f t="shared" si="6"/>
        <v>3959.7116153373649</v>
      </c>
      <c r="E22" s="161">
        <f t="shared" si="6"/>
        <v>4029.4442070636319</v>
      </c>
      <c r="F22" s="161">
        <f t="shared" si="6"/>
        <v>4101.8338172233707</v>
      </c>
      <c r="G22" s="161">
        <f t="shared" si="6"/>
        <v>4264.1901563695856</v>
      </c>
      <c r="H22" s="161">
        <f t="shared" si="6"/>
        <v>4342.1353263718702</v>
      </c>
      <c r="I22" s="161">
        <f t="shared" si="6"/>
        <v>4422.9838921559067</v>
      </c>
      <c r="J22" s="161">
        <f t="shared" si="6"/>
        <v>4506.8229555951484</v>
      </c>
      <c r="K22" s="161">
        <f t="shared" si="6"/>
        <v>4593.7422316192506</v>
      </c>
      <c r="L22" s="161">
        <f t="shared" si="6"/>
        <v>4683.8341266057605</v>
      </c>
      <c r="M22" s="161">
        <f t="shared" si="6"/>
        <v>4777.1938191235467</v>
      </c>
      <c r="N22" s="161">
        <f t="shared" si="6"/>
        <v>5222.8393430985516</v>
      </c>
      <c r="O22" s="161">
        <f t="shared" si="6"/>
        <v>5323.0316734744911</v>
      </c>
      <c r="P22" s="161">
        <f t="shared" si="6"/>
        <v>5862.9448144433909</v>
      </c>
      <c r="Q22" s="161">
        <f t="shared" si="6"/>
        <v>5405.8669353230425</v>
      </c>
      <c r="R22" s="161">
        <f t="shared" si="6"/>
        <v>5531.9749050607661</v>
      </c>
      <c r="S22" s="161">
        <f t="shared" si="6"/>
        <v>5662.2823683633051</v>
      </c>
      <c r="T22" s="161">
        <f t="shared" si="6"/>
        <v>5796.9123343134243</v>
      </c>
      <c r="U22" s="161">
        <f t="shared" si="6"/>
        <v>5935.9914427518861</v>
      </c>
      <c r="W22" s="172">
        <f t="shared" si="4"/>
        <v>95795.284803137271</v>
      </c>
    </row>
    <row r="23" spans="1:45">
      <c r="A23" s="183"/>
      <c r="B23" s="342"/>
      <c r="C23" s="343"/>
      <c r="D23" s="342"/>
      <c r="E23" s="342"/>
      <c r="F23" s="342"/>
      <c r="G23" s="342"/>
      <c r="H23" s="342"/>
      <c r="I23" s="342"/>
      <c r="J23" s="342"/>
      <c r="K23" s="342"/>
      <c r="L23" s="342"/>
      <c r="M23" s="342"/>
      <c r="N23" s="342"/>
      <c r="O23" s="342"/>
      <c r="P23" s="342"/>
      <c r="Q23" s="342"/>
      <c r="R23" s="342"/>
      <c r="S23" s="342"/>
      <c r="T23" s="342"/>
      <c r="U23" s="342"/>
      <c r="V23" s="339"/>
      <c r="W23" s="172"/>
    </row>
    <row r="24" spans="1:45">
      <c r="A24" s="183"/>
      <c r="B24" s="342"/>
      <c r="C24" s="343"/>
      <c r="D24" s="342"/>
      <c r="E24" s="342"/>
      <c r="F24" s="342"/>
      <c r="G24" s="342"/>
      <c r="H24" s="342"/>
      <c r="I24" s="342"/>
      <c r="J24" s="342"/>
      <c r="K24" s="342"/>
      <c r="L24" s="342"/>
      <c r="M24" s="342"/>
      <c r="N24" s="342"/>
      <c r="O24" s="342"/>
      <c r="P24" s="342"/>
      <c r="Q24" s="342"/>
      <c r="R24" s="342"/>
      <c r="S24" s="342"/>
      <c r="T24" s="342"/>
      <c r="U24" s="342"/>
      <c r="V24" s="339"/>
      <c r="W24" s="172"/>
    </row>
    <row r="25" spans="1:45">
      <c r="A25" s="171" t="s">
        <v>56</v>
      </c>
      <c r="B25" s="168">
        <f t="shared" ref="B25:U25" si="7">B13-B22</f>
        <v>31744.331749675279</v>
      </c>
      <c r="C25" s="168">
        <f t="shared" si="7"/>
        <v>33236.738890257831</v>
      </c>
      <c r="D25" s="168">
        <f t="shared" si="7"/>
        <v>34900.379548608573</v>
      </c>
      <c r="E25" s="168">
        <f t="shared" si="7"/>
        <v>36739.397988835553</v>
      </c>
      <c r="F25" s="168">
        <f t="shared" si="7"/>
        <v>38669.824586144743</v>
      </c>
      <c r="G25" s="168">
        <f t="shared" si="7"/>
        <v>39072.974002675459</v>
      </c>
      <c r="H25" s="168">
        <f t="shared" si="7"/>
        <v>39569.41922830273</v>
      </c>
      <c r="I25" s="168">
        <f t="shared" si="7"/>
        <v>40070.871217117085</v>
      </c>
      <c r="J25" s="168">
        <f t="shared" si="7"/>
        <v>40577.360725731742</v>
      </c>
      <c r="K25" s="168">
        <f t="shared" si="7"/>
        <v>41088.917901714194</v>
      </c>
      <c r="L25" s="168">
        <f t="shared" si="7"/>
        <v>41876.94789645027</v>
      </c>
      <c r="M25" s="168">
        <f t="shared" si="7"/>
        <v>42678.718927320871</v>
      </c>
      <c r="N25" s="168">
        <f t="shared" si="7"/>
        <v>43141.185224087392</v>
      </c>
      <c r="O25" s="168">
        <f t="shared" si="7"/>
        <v>43971.149248618633</v>
      </c>
      <c r="P25" s="168">
        <f t="shared" si="7"/>
        <v>44373.970868658202</v>
      </c>
      <c r="Q25" s="168">
        <f t="shared" si="7"/>
        <v>45577.191806746887</v>
      </c>
      <c r="R25" s="168">
        <f t="shared" si="7"/>
        <v>46201.180079901591</v>
      </c>
      <c r="S25" s="168">
        <f t="shared" si="7"/>
        <v>46832.340151221564</v>
      </c>
      <c r="T25" s="168">
        <f t="shared" si="7"/>
        <v>47470.73144270671</v>
      </c>
      <c r="U25" s="168">
        <f t="shared" si="7"/>
        <v>48116.412954396466</v>
      </c>
      <c r="V25" s="307"/>
      <c r="W25" s="172">
        <f>SUM(B25:U25)</f>
        <v>825910.04443917179</v>
      </c>
    </row>
    <row r="26" spans="1:45">
      <c r="A26" s="171"/>
      <c r="B26" s="344"/>
      <c r="C26" s="345"/>
      <c r="D26" s="344"/>
      <c r="E26" s="344"/>
      <c r="F26" s="344"/>
      <c r="G26" s="344"/>
      <c r="H26" s="344"/>
      <c r="I26" s="344"/>
      <c r="J26" s="344"/>
      <c r="K26" s="344"/>
      <c r="L26" s="344"/>
      <c r="M26" s="344"/>
      <c r="N26" s="344"/>
      <c r="O26" s="344"/>
      <c r="P26" s="344"/>
      <c r="Q26" s="344"/>
      <c r="R26" s="344"/>
      <c r="S26" s="344"/>
      <c r="T26" s="344"/>
      <c r="U26" s="344"/>
      <c r="V26" s="307"/>
      <c r="W26" s="172"/>
    </row>
    <row r="27" spans="1:45" s="5" customFormat="1">
      <c r="A27" s="175" t="s">
        <v>57</v>
      </c>
      <c r="B27" s="161">
        <f>Depreciation!C13</f>
        <v>7104.3696700651244</v>
      </c>
      <c r="C27" s="161">
        <f>Depreciation!D13</f>
        <v>7104.3696700651244</v>
      </c>
      <c r="D27" s="161">
        <f>Depreciation!E13</f>
        <v>7104.3696700651244</v>
      </c>
      <c r="E27" s="161">
        <f>Depreciation!F13</f>
        <v>7104.3696700651244</v>
      </c>
      <c r="F27" s="161">
        <f>Depreciation!G13</f>
        <v>7104.3696700651244</v>
      </c>
      <c r="G27" s="161">
        <f>Depreciation!H13</f>
        <v>7104.3696700651244</v>
      </c>
      <c r="H27" s="161">
        <f>Depreciation!I13</f>
        <v>7104.3696700651244</v>
      </c>
      <c r="I27" s="161">
        <f>Depreciation!J13</f>
        <v>7104.3696700651244</v>
      </c>
      <c r="J27" s="161">
        <f>Depreciation!K13</f>
        <v>7104.3696700651244</v>
      </c>
      <c r="K27" s="161">
        <f>Depreciation!L13</f>
        <v>7104.3696700651244</v>
      </c>
      <c r="L27" s="161">
        <f>Depreciation!M13</f>
        <v>7104.3696700651244</v>
      </c>
      <c r="M27" s="161">
        <f>Depreciation!N13</f>
        <v>7104.3696700651244</v>
      </c>
      <c r="N27" s="161">
        <f>Depreciation!O13</f>
        <v>7104.3696700651244</v>
      </c>
      <c r="O27" s="161">
        <f>Depreciation!P13</f>
        <v>7104.3696700651244</v>
      </c>
      <c r="P27" s="161">
        <f>Depreciation!Q13</f>
        <v>7104.3696700651244</v>
      </c>
      <c r="Q27" s="161">
        <f>Depreciation!R13</f>
        <v>7104.3696700651244</v>
      </c>
      <c r="R27" s="161">
        <f>Depreciation!S13</f>
        <v>7104.3696700651244</v>
      </c>
      <c r="S27" s="161">
        <f>Depreciation!T13</f>
        <v>7104.3696700651244</v>
      </c>
      <c r="T27" s="161">
        <f>Depreciation!U13</f>
        <v>7104.3696700651244</v>
      </c>
      <c r="U27" s="161">
        <f>Depreciation!V13</f>
        <v>7104.3696700651244</v>
      </c>
      <c r="V27" s="96"/>
      <c r="W27" s="172">
        <f>SUM(B27:U27)</f>
        <v>142087.39340130246</v>
      </c>
    </row>
    <row r="28" spans="1:45">
      <c r="A28" s="175"/>
      <c r="B28" s="161"/>
      <c r="C28" s="172"/>
      <c r="D28" s="161"/>
      <c r="E28" s="161"/>
      <c r="F28" s="161"/>
      <c r="G28" s="161"/>
      <c r="H28" s="161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W28" s="172"/>
    </row>
    <row r="29" spans="1:45" s="339" customFormat="1">
      <c r="A29" s="171" t="s">
        <v>58</v>
      </c>
      <c r="B29" s="344">
        <f t="shared" ref="B29:U29" si="8">B25-B27</f>
        <v>24639.962079610155</v>
      </c>
      <c r="C29" s="344">
        <f t="shared" si="8"/>
        <v>26132.369220192708</v>
      </c>
      <c r="D29" s="344">
        <f t="shared" si="8"/>
        <v>27796.009878543449</v>
      </c>
      <c r="E29" s="344">
        <f t="shared" si="8"/>
        <v>29635.02831877043</v>
      </c>
      <c r="F29" s="344">
        <f t="shared" si="8"/>
        <v>31565.45491607962</v>
      </c>
      <c r="G29" s="344">
        <f t="shared" si="8"/>
        <v>31968.604332610335</v>
      </c>
      <c r="H29" s="344">
        <f t="shared" si="8"/>
        <v>32465.049558237606</v>
      </c>
      <c r="I29" s="344">
        <f t="shared" si="8"/>
        <v>32966.501547051957</v>
      </c>
      <c r="J29" s="344">
        <f t="shared" si="8"/>
        <v>33472.991055666615</v>
      </c>
      <c r="K29" s="344">
        <f t="shared" si="8"/>
        <v>33984.548231649067</v>
      </c>
      <c r="L29" s="344">
        <f t="shared" si="8"/>
        <v>34772.578226385143</v>
      </c>
      <c r="M29" s="344">
        <f t="shared" si="8"/>
        <v>35574.349257255744</v>
      </c>
      <c r="N29" s="344">
        <f t="shared" si="8"/>
        <v>36036.815554022265</v>
      </c>
      <c r="O29" s="344">
        <f t="shared" si="8"/>
        <v>36866.779578553505</v>
      </c>
      <c r="P29" s="344">
        <f t="shared" si="8"/>
        <v>37269.601198593075</v>
      </c>
      <c r="Q29" s="344">
        <f t="shared" si="8"/>
        <v>38472.82213668176</v>
      </c>
      <c r="R29" s="344">
        <f t="shared" si="8"/>
        <v>39096.810409836464</v>
      </c>
      <c r="S29" s="344">
        <f t="shared" si="8"/>
        <v>39727.970481156437</v>
      </c>
      <c r="T29" s="344">
        <f t="shared" si="8"/>
        <v>40366.361772641583</v>
      </c>
      <c r="U29" s="344">
        <f t="shared" si="8"/>
        <v>41012.043284331339</v>
      </c>
      <c r="V29" s="307"/>
      <c r="W29" s="172">
        <f>SUM(B29:U29)</f>
        <v>683822.65103786928</v>
      </c>
    </row>
    <row r="30" spans="1:45" s="339" customFormat="1">
      <c r="A30" s="171"/>
      <c r="B30" s="344"/>
      <c r="C30" s="344"/>
      <c r="D30" s="344"/>
      <c r="E30" s="344"/>
      <c r="F30" s="344"/>
      <c r="G30" s="344"/>
      <c r="H30" s="344"/>
      <c r="I30" s="344"/>
      <c r="J30" s="344"/>
      <c r="K30" s="344"/>
      <c r="L30" s="344"/>
      <c r="M30" s="344"/>
      <c r="N30" s="344"/>
      <c r="O30" s="344"/>
      <c r="P30" s="344"/>
      <c r="Q30" s="344"/>
      <c r="R30" s="344"/>
      <c r="S30" s="344"/>
      <c r="T30" s="344"/>
      <c r="U30" s="344"/>
      <c r="V30" s="307"/>
      <c r="W30" s="172"/>
    </row>
    <row r="31" spans="1:45" s="307" customFormat="1">
      <c r="A31" s="6" t="s">
        <v>59</v>
      </c>
      <c r="B31" s="161">
        <f>IS!B33*Allocation!$E$6</f>
        <v>11998.322855207383</v>
      </c>
      <c r="C31" s="161">
        <f>IS!C33*Allocation!$E$6</f>
        <v>12031.285280633776</v>
      </c>
      <c r="D31" s="161">
        <f>IS!D33*Allocation!$E$6</f>
        <v>12031.285280633776</v>
      </c>
      <c r="E31" s="161">
        <f>IS!E33*Allocation!$E$6</f>
        <v>12024.466947186947</v>
      </c>
      <c r="F31" s="161">
        <f>IS!F33*Allocation!$E$6</f>
        <v>11818.702399233118</v>
      </c>
      <c r="G31" s="161">
        <f>IS!G33*Allocation!$E$6</f>
        <v>11593.97163392079</v>
      </c>
      <c r="H31" s="161">
        <f>IS!H33*Allocation!$E$6</f>
        <v>11341.404511504332</v>
      </c>
      <c r="I31" s="161">
        <f>IS!I33*Allocation!$E$6</f>
        <v>11093.332662768162</v>
      </c>
      <c r="J31" s="161">
        <f>IS!J33*Allocation!$E$6</f>
        <v>10748.956079292899</v>
      </c>
      <c r="K31" s="161">
        <f>IS!K33*Allocation!$E$6</f>
        <v>10385.267358816762</v>
      </c>
      <c r="L31" s="161">
        <f>IS!L33*Allocation!$E$6</f>
        <v>9765.4396475702251</v>
      </c>
      <c r="M31" s="161">
        <f>IS!M33*Allocation!$E$6</f>
        <v>8772.6582787035622</v>
      </c>
      <c r="N31" s="161">
        <f>IS!N33*Allocation!$E$6</f>
        <v>7730.5375016410835</v>
      </c>
      <c r="O31" s="161">
        <f>IS!O33*Allocation!$E$6</f>
        <v>6713.0864286765127</v>
      </c>
      <c r="P31" s="161">
        <f>IS!P33*Allocation!$E$6</f>
        <v>5682.8126846554023</v>
      </c>
      <c r="Q31" s="161">
        <f>IS!Q33*Allocation!$E$6</f>
        <v>4615.0465654798445</v>
      </c>
      <c r="R31" s="161">
        <f>IS!R33*Allocation!$E$6</f>
        <v>3482.4702067250364</v>
      </c>
      <c r="S31" s="161">
        <f>IS!S33*Allocation!$E$6</f>
        <v>2414.5647106901674</v>
      </c>
      <c r="T31" s="161">
        <f>IS!T33*Allocation!$E$6</f>
        <v>1498.8587450220539</v>
      </c>
      <c r="U31" s="161">
        <f>IS!U33*Allocation!$E$6</f>
        <v>585.38280910290371</v>
      </c>
      <c r="V31" s="96"/>
      <c r="W31" s="172">
        <f>SUM(B31:U31)</f>
        <v>166327.85258746473</v>
      </c>
    </row>
    <row r="32" spans="1:45" s="307" customFormat="1">
      <c r="A32" s="6"/>
      <c r="B32" s="268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6"/>
      <c r="R32" s="346"/>
      <c r="S32" s="346"/>
      <c r="T32" s="346"/>
      <c r="U32" s="346"/>
      <c r="V32" s="96"/>
      <c r="W32" s="172"/>
    </row>
    <row r="33" spans="1:23">
      <c r="A33" s="171" t="s">
        <v>60</v>
      </c>
      <c r="B33" s="344">
        <f t="shared" ref="B33:U33" si="9">B29-B31</f>
        <v>12641.639224402772</v>
      </c>
      <c r="C33" s="344">
        <f t="shared" si="9"/>
        <v>14101.083939558932</v>
      </c>
      <c r="D33" s="344">
        <f t="shared" si="9"/>
        <v>15764.724597909673</v>
      </c>
      <c r="E33" s="344">
        <f t="shared" si="9"/>
        <v>17610.561371583484</v>
      </c>
      <c r="F33" s="344">
        <f t="shared" si="9"/>
        <v>19746.7525168465</v>
      </c>
      <c r="G33" s="344">
        <f t="shared" si="9"/>
        <v>20374.632698689544</v>
      </c>
      <c r="H33" s="344">
        <f t="shared" si="9"/>
        <v>21123.645046733276</v>
      </c>
      <c r="I33" s="344">
        <f t="shared" si="9"/>
        <v>21873.168884283798</v>
      </c>
      <c r="J33" s="344">
        <f t="shared" si="9"/>
        <v>22724.034976373718</v>
      </c>
      <c r="K33" s="344">
        <f t="shared" si="9"/>
        <v>23599.280872832307</v>
      </c>
      <c r="L33" s="344">
        <f t="shared" si="9"/>
        <v>25007.13857881492</v>
      </c>
      <c r="M33" s="344">
        <f t="shared" si="9"/>
        <v>26801.690978552182</v>
      </c>
      <c r="N33" s="344">
        <f t="shared" si="9"/>
        <v>28306.278052381182</v>
      </c>
      <c r="O33" s="344">
        <f t="shared" si="9"/>
        <v>30153.693149876992</v>
      </c>
      <c r="P33" s="344">
        <f t="shared" si="9"/>
        <v>31586.788513937674</v>
      </c>
      <c r="Q33" s="344">
        <f t="shared" si="9"/>
        <v>33857.775571201913</v>
      </c>
      <c r="R33" s="344">
        <f t="shared" si="9"/>
        <v>35614.340203111424</v>
      </c>
      <c r="S33" s="344">
        <f t="shared" si="9"/>
        <v>37313.40577046627</v>
      </c>
      <c r="T33" s="344">
        <f t="shared" si="9"/>
        <v>38867.503027619532</v>
      </c>
      <c r="U33" s="344">
        <f t="shared" si="9"/>
        <v>40426.660475228433</v>
      </c>
      <c r="V33" s="307"/>
      <c r="W33" s="172">
        <f>SUM(B33:U33)</f>
        <v>517494.79845040455</v>
      </c>
    </row>
    <row r="34" spans="1:23">
      <c r="A34" s="171"/>
      <c r="B34" s="344"/>
      <c r="C34" s="344"/>
      <c r="D34" s="344"/>
      <c r="E34" s="344"/>
      <c r="F34" s="344"/>
      <c r="G34" s="344"/>
      <c r="H34" s="344"/>
      <c r="I34" s="344"/>
      <c r="J34" s="344"/>
      <c r="K34" s="344"/>
      <c r="L34" s="344"/>
      <c r="M34" s="344"/>
      <c r="N34" s="344"/>
      <c r="O34" s="344"/>
      <c r="P34" s="344"/>
      <c r="Q34" s="344"/>
      <c r="R34" s="344"/>
      <c r="S34" s="344"/>
      <c r="T34" s="344"/>
      <c r="U34" s="344"/>
      <c r="V34" s="307"/>
      <c r="W34" s="172"/>
    </row>
    <row r="35" spans="1:23" s="307" customFormat="1">
      <c r="A35" s="175" t="s">
        <v>61</v>
      </c>
      <c r="B35" s="161">
        <f>B33*-Assumptions!$C$38</f>
        <v>-758.49835346416626</v>
      </c>
      <c r="C35" s="161">
        <f>C33*-Assumptions!$C$38</f>
        <v>-846.06503637353592</v>
      </c>
      <c r="D35" s="161">
        <f>D33*-Assumptions!$C$38</f>
        <v>-945.88347587458031</v>
      </c>
      <c r="E35" s="161">
        <f>E33*-Assumptions!$C$38</f>
        <v>-1056.6336822950091</v>
      </c>
      <c r="F35" s="161">
        <f>F33*-Assumptions!$C$38</f>
        <v>-1184.80515101079</v>
      </c>
      <c r="G35" s="161">
        <f>G33*-Assumptions!$C$38</f>
        <v>-1222.4779619213725</v>
      </c>
      <c r="H35" s="161">
        <f>H33*-Assumptions!$C$38</f>
        <v>-1267.4187028039964</v>
      </c>
      <c r="I35" s="161">
        <f>I33*-Assumptions!$C$38</f>
        <v>-1312.3901330570277</v>
      </c>
      <c r="J35" s="161">
        <f>J33*-Assumptions!$C$38</f>
        <v>-1363.4420985824231</v>
      </c>
      <c r="K35" s="161">
        <f>K33*-Assumptions!$C$38</f>
        <v>-1415.9568523699384</v>
      </c>
      <c r="L35" s="161">
        <f>L33*-Assumptions!$C$38</f>
        <v>-1500.4283147288952</v>
      </c>
      <c r="M35" s="161">
        <f>M33*-Assumptions!$C$38</f>
        <v>-1608.1014587131308</v>
      </c>
      <c r="N35" s="161">
        <f>N33*-Assumptions!$C$38</f>
        <v>-1698.3766831428709</v>
      </c>
      <c r="O35" s="161">
        <f>O33*-Assumptions!$C$38</f>
        <v>-1809.2215889926194</v>
      </c>
      <c r="P35" s="161">
        <f>P33*-Assumptions!$C$38</f>
        <v>-1895.2073108362604</v>
      </c>
      <c r="Q35" s="161">
        <f>Q33*-Assumptions!$C$38</f>
        <v>-2031.4665342721148</v>
      </c>
      <c r="R35" s="161">
        <f>R33*-Assumptions!$C$38</f>
        <v>-2136.8604121866852</v>
      </c>
      <c r="S35" s="161">
        <f>S33*-Assumptions!$C$38</f>
        <v>-2238.8043462279761</v>
      </c>
      <c r="T35" s="161">
        <f>T33*-Assumptions!$C$38</f>
        <v>-2332.0501816571718</v>
      </c>
      <c r="U35" s="161">
        <f>U33*-Assumptions!$C$38</f>
        <v>-2425.5996285137057</v>
      </c>
      <c r="V35" s="96"/>
      <c r="W35" s="172">
        <f>SUM(B35:U35)</f>
        <v>-31049.687907024268</v>
      </c>
    </row>
    <row r="36" spans="1:23" s="307" customFormat="1">
      <c r="A36" s="175" t="s">
        <v>62</v>
      </c>
      <c r="B36" s="347">
        <f>(B33+B35)*-Assumptions!$C$37</f>
        <v>-4159.0993048285118</v>
      </c>
      <c r="C36" s="347">
        <f>(C33+C35)*-Assumptions!$C$37</f>
        <v>-4639.2566161148879</v>
      </c>
      <c r="D36" s="347">
        <f>(D33+D35)*-Assumptions!$C$37</f>
        <v>-5186.5943927122826</v>
      </c>
      <c r="E36" s="347">
        <f>(E33+E35)*-Assumptions!$C$37</f>
        <v>-5793.874691250965</v>
      </c>
      <c r="F36" s="347">
        <f>(F33+F35)*-Assumptions!$C$37</f>
        <v>-6496.6815780424977</v>
      </c>
      <c r="G36" s="347">
        <f>(G33+G35)*-Assumptions!$C$37</f>
        <v>-6703.2541578688597</v>
      </c>
      <c r="H36" s="347">
        <f>(H33+H35)*-Assumptions!$C$37</f>
        <v>-6949.6792203752475</v>
      </c>
      <c r="I36" s="347">
        <f>(I33+I35)*-Assumptions!$C$37</f>
        <v>-7196.2725629293691</v>
      </c>
      <c r="J36" s="347">
        <f>(J33+J35)*-Assumptions!$C$37</f>
        <v>-7476.2075072269527</v>
      </c>
      <c r="K36" s="347">
        <f>(K33+K35)*-Assumptions!$C$37</f>
        <v>-7764.1634071618282</v>
      </c>
      <c r="L36" s="347">
        <f>(L33+L35)*-Assumptions!$C$37</f>
        <v>-8227.3485924301076</v>
      </c>
      <c r="M36" s="347">
        <f>(M33+M35)*-Assumptions!$C$37</f>
        <v>-8817.7563319436667</v>
      </c>
      <c r="N36" s="347">
        <f>(N33+N35)*-Assumptions!$C$37</f>
        <v>-9312.7654792334088</v>
      </c>
      <c r="O36" s="347">
        <f>(O33+O35)*-Assumptions!$C$37</f>
        <v>-9920.5650463095299</v>
      </c>
      <c r="P36" s="347">
        <f>(P33+P35)*-Assumptions!$C$37</f>
        <v>-10392.053421085495</v>
      </c>
      <c r="Q36" s="347">
        <f>(Q33+Q35)*-Assumptions!$C$37</f>
        <v>-11139.208162925428</v>
      </c>
      <c r="R36" s="347">
        <f>(R33+R35)*-Assumptions!$C$37</f>
        <v>-11717.117926823657</v>
      </c>
      <c r="S36" s="347">
        <f>(S33+S35)*-Assumptions!$C$37</f>
        <v>-12276.110498483402</v>
      </c>
      <c r="T36" s="347">
        <f>(T33+T35)*-Assumptions!$C$37</f>
        <v>-12787.408496086826</v>
      </c>
      <c r="U36" s="347">
        <f>(U33+U35)*-Assumptions!$C$37</f>
        <v>-13300.371296350153</v>
      </c>
      <c r="V36" s="96"/>
      <c r="W36" s="172">
        <f>SUM(B36:U36)</f>
        <v>-170255.78869018308</v>
      </c>
    </row>
    <row r="37" spans="1:23">
      <c r="B37" s="161"/>
      <c r="C37" s="161"/>
      <c r="D37" s="161"/>
      <c r="E37" s="161"/>
      <c r="F37" s="161"/>
      <c r="G37" s="161"/>
      <c r="H37" s="161"/>
      <c r="I37" s="161"/>
      <c r="J37" s="161"/>
      <c r="K37" s="161"/>
      <c r="L37" s="161"/>
      <c r="M37" s="161"/>
      <c r="N37" s="161"/>
      <c r="O37" s="161"/>
      <c r="P37" s="161"/>
      <c r="Q37" s="161"/>
      <c r="R37" s="161"/>
      <c r="S37" s="161"/>
      <c r="T37" s="161"/>
      <c r="U37" s="161"/>
      <c r="W37" s="172"/>
    </row>
    <row r="38" spans="1:23" ht="15.75">
      <c r="A38" s="186" t="s">
        <v>189</v>
      </c>
      <c r="B38" s="348">
        <f t="shared" ref="B38:U38" si="10">SUM(B33:B36)</f>
        <v>7724.0415661100933</v>
      </c>
      <c r="C38" s="348">
        <f t="shared" si="10"/>
        <v>8615.7622870705072</v>
      </c>
      <c r="D38" s="348">
        <f t="shared" si="10"/>
        <v>9632.246729322811</v>
      </c>
      <c r="E38" s="348">
        <f t="shared" si="10"/>
        <v>10760.052998037509</v>
      </c>
      <c r="F38" s="348">
        <f t="shared" si="10"/>
        <v>12065.265787793211</v>
      </c>
      <c r="G38" s="348">
        <f t="shared" si="10"/>
        <v>12448.900578899311</v>
      </c>
      <c r="H38" s="348">
        <f t="shared" si="10"/>
        <v>12906.547123554032</v>
      </c>
      <c r="I38" s="348">
        <f t="shared" si="10"/>
        <v>13364.506188297402</v>
      </c>
      <c r="J38" s="348">
        <f t="shared" si="10"/>
        <v>13884.385370564343</v>
      </c>
      <c r="K38" s="348">
        <f t="shared" si="10"/>
        <v>14419.160613300541</v>
      </c>
      <c r="L38" s="348">
        <f t="shared" si="10"/>
        <v>15279.361671655917</v>
      </c>
      <c r="M38" s="348">
        <f t="shared" si="10"/>
        <v>16375.833187895383</v>
      </c>
      <c r="N38" s="348">
        <f t="shared" si="10"/>
        <v>17295.135890004902</v>
      </c>
      <c r="O38" s="348">
        <f t="shared" si="10"/>
        <v>18423.906514574843</v>
      </c>
      <c r="P38" s="348">
        <f t="shared" si="10"/>
        <v>19299.527782015917</v>
      </c>
      <c r="Q38" s="348">
        <f t="shared" si="10"/>
        <v>20687.100874004369</v>
      </c>
      <c r="R38" s="348">
        <f t="shared" si="10"/>
        <v>21760.361864101076</v>
      </c>
      <c r="S38" s="348">
        <f t="shared" si="10"/>
        <v>22798.490925754893</v>
      </c>
      <c r="T38" s="348">
        <f t="shared" si="10"/>
        <v>23748.044349875534</v>
      </c>
      <c r="U38" s="348">
        <f t="shared" si="10"/>
        <v>24700.689550364572</v>
      </c>
      <c r="V38" s="349"/>
      <c r="W38" s="172">
        <f>SUM(B38:U38)</f>
        <v>316189.32185319712</v>
      </c>
    </row>
    <row r="39" spans="1:23" s="307" customFormat="1">
      <c r="A39" s="340"/>
      <c r="B39" s="350"/>
      <c r="C39" s="351"/>
      <c r="D39" s="350"/>
      <c r="E39" s="350"/>
      <c r="F39" s="350"/>
      <c r="G39" s="350"/>
      <c r="H39" s="350"/>
      <c r="I39" s="350"/>
      <c r="J39" s="350"/>
      <c r="K39" s="350"/>
      <c r="L39" s="350"/>
      <c r="M39" s="350"/>
      <c r="N39" s="350"/>
      <c r="O39" s="350"/>
      <c r="P39" s="350"/>
      <c r="Q39" s="350"/>
      <c r="R39" s="350"/>
      <c r="S39" s="350"/>
      <c r="T39" s="350"/>
      <c r="U39" s="350"/>
      <c r="V39" s="339"/>
      <c r="W39" s="339"/>
    </row>
    <row r="40" spans="1:23" s="307" customFormat="1">
      <c r="A40" s="171"/>
      <c r="B40" s="204"/>
      <c r="C40" s="208"/>
      <c r="D40" s="204"/>
      <c r="E40" s="204"/>
      <c r="F40" s="204"/>
      <c r="G40" s="204"/>
      <c r="H40" s="204"/>
      <c r="I40" s="204"/>
      <c r="J40" s="204"/>
      <c r="K40" s="204"/>
      <c r="L40" s="204"/>
      <c r="M40" s="204"/>
      <c r="N40" s="204"/>
      <c r="O40" s="204"/>
      <c r="P40" s="204"/>
      <c r="Q40" s="204"/>
      <c r="R40" s="204"/>
      <c r="S40" s="204"/>
      <c r="T40" s="204"/>
      <c r="U40" s="204"/>
      <c r="V40" s="96"/>
      <c r="W40" s="96"/>
    </row>
    <row r="41" spans="1:23">
      <c r="A41" s="266"/>
      <c r="B41" s="204"/>
      <c r="C41" s="208"/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04"/>
      <c r="O41" s="204"/>
      <c r="P41" s="204"/>
      <c r="Q41" s="204"/>
      <c r="R41" s="204"/>
      <c r="S41" s="204"/>
      <c r="T41" s="204"/>
      <c r="U41" s="204"/>
    </row>
    <row r="42" spans="1:23" ht="18">
      <c r="A42" s="352" t="s">
        <v>186</v>
      </c>
      <c r="B42" s="204"/>
      <c r="C42" s="208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</row>
    <row r="43" spans="1:23">
      <c r="A43" s="171"/>
      <c r="B43" s="204"/>
      <c r="C43" s="208"/>
      <c r="D43" s="204"/>
      <c r="E43" s="204"/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</row>
    <row r="44" spans="1:23" s="349" customFormat="1" ht="15.75">
      <c r="A44" s="171"/>
      <c r="B44" s="204"/>
      <c r="C44" s="208"/>
      <c r="D44" s="204"/>
      <c r="E44" s="204"/>
      <c r="F44" s="204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04"/>
      <c r="V44" s="96"/>
      <c r="W44" s="96"/>
    </row>
    <row r="45" spans="1:23" s="339" customFormat="1">
      <c r="A45" s="171"/>
      <c r="B45" s="204"/>
      <c r="C45" s="208"/>
      <c r="D45" s="204"/>
      <c r="E45" s="204"/>
      <c r="F45" s="204"/>
      <c r="G45" s="204"/>
      <c r="H45" s="204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4"/>
      <c r="T45" s="204"/>
      <c r="U45" s="204"/>
      <c r="V45" s="96"/>
      <c r="W45" s="96"/>
    </row>
    <row r="46" spans="1:23" ht="13.5" thickBot="1">
      <c r="A46" s="162" t="s">
        <v>49</v>
      </c>
      <c r="B46" s="163">
        <v>2001</v>
      </c>
      <c r="C46" s="163">
        <f t="shared" ref="C46:U46" si="11">B46+1</f>
        <v>2002</v>
      </c>
      <c r="D46" s="163">
        <f t="shared" si="11"/>
        <v>2003</v>
      </c>
      <c r="E46" s="163">
        <f t="shared" si="11"/>
        <v>2004</v>
      </c>
      <c r="F46" s="163">
        <f t="shared" si="11"/>
        <v>2005</v>
      </c>
      <c r="G46" s="163">
        <f t="shared" si="11"/>
        <v>2006</v>
      </c>
      <c r="H46" s="163">
        <f t="shared" si="11"/>
        <v>2007</v>
      </c>
      <c r="I46" s="163">
        <f t="shared" si="11"/>
        <v>2008</v>
      </c>
      <c r="J46" s="163">
        <f t="shared" si="11"/>
        <v>2009</v>
      </c>
      <c r="K46" s="163">
        <f t="shared" si="11"/>
        <v>2010</v>
      </c>
      <c r="L46" s="163">
        <f t="shared" si="11"/>
        <v>2011</v>
      </c>
      <c r="M46" s="163">
        <f t="shared" si="11"/>
        <v>2012</v>
      </c>
      <c r="N46" s="163">
        <f t="shared" si="11"/>
        <v>2013</v>
      </c>
      <c r="O46" s="163">
        <f t="shared" si="11"/>
        <v>2014</v>
      </c>
      <c r="P46" s="163">
        <f t="shared" si="11"/>
        <v>2015</v>
      </c>
      <c r="Q46" s="163">
        <f t="shared" si="11"/>
        <v>2016</v>
      </c>
      <c r="R46" s="163">
        <f t="shared" si="11"/>
        <v>2017</v>
      </c>
      <c r="S46" s="163">
        <f t="shared" si="11"/>
        <v>2018</v>
      </c>
      <c r="T46" s="163">
        <f t="shared" si="11"/>
        <v>2019</v>
      </c>
      <c r="U46" s="163">
        <f t="shared" si="11"/>
        <v>2020</v>
      </c>
      <c r="W46" s="303" t="s">
        <v>146</v>
      </c>
    </row>
    <row r="47" spans="1:23">
      <c r="A47" s="262"/>
      <c r="B47" s="204"/>
      <c r="C47" s="208"/>
      <c r="D47" s="204"/>
      <c r="E47" s="204"/>
      <c r="F47" s="204"/>
      <c r="G47" s="204"/>
      <c r="H47" s="204"/>
      <c r="I47" s="204"/>
      <c r="J47" s="204"/>
      <c r="K47" s="204"/>
      <c r="L47" s="204"/>
      <c r="M47" s="204"/>
      <c r="N47" s="204"/>
      <c r="O47" s="204"/>
      <c r="P47" s="204"/>
      <c r="Q47" s="204"/>
      <c r="R47" s="204"/>
      <c r="S47" s="204"/>
      <c r="T47" s="204"/>
      <c r="U47" s="204"/>
      <c r="W47" s="178"/>
    </row>
    <row r="48" spans="1:23">
      <c r="A48" s="266" t="s">
        <v>56</v>
      </c>
      <c r="B48" s="268">
        <f>B25</f>
        <v>31744.331749675279</v>
      </c>
      <c r="C48" s="268">
        <f>C25</f>
        <v>33236.738890257831</v>
      </c>
      <c r="D48" s="268">
        <f>D25</f>
        <v>34900.379548608573</v>
      </c>
      <c r="E48" s="204">
        <f t="shared" ref="E48:U48" si="12">E25</f>
        <v>36739.397988835553</v>
      </c>
      <c r="F48" s="204">
        <f t="shared" si="12"/>
        <v>38669.824586144743</v>
      </c>
      <c r="G48" s="204">
        <f t="shared" si="12"/>
        <v>39072.974002675459</v>
      </c>
      <c r="H48" s="204">
        <f t="shared" si="12"/>
        <v>39569.41922830273</v>
      </c>
      <c r="I48" s="204">
        <f t="shared" si="12"/>
        <v>40070.871217117085</v>
      </c>
      <c r="J48" s="204">
        <f t="shared" si="12"/>
        <v>40577.360725731742</v>
      </c>
      <c r="K48" s="204">
        <f t="shared" si="12"/>
        <v>41088.917901714194</v>
      </c>
      <c r="L48" s="204">
        <f t="shared" si="12"/>
        <v>41876.94789645027</v>
      </c>
      <c r="M48" s="204">
        <f t="shared" si="12"/>
        <v>42678.718927320871</v>
      </c>
      <c r="N48" s="204">
        <f t="shared" si="12"/>
        <v>43141.185224087392</v>
      </c>
      <c r="O48" s="204">
        <f t="shared" si="12"/>
        <v>43971.149248618633</v>
      </c>
      <c r="P48" s="204">
        <f t="shared" si="12"/>
        <v>44373.970868658202</v>
      </c>
      <c r="Q48" s="204">
        <f t="shared" si="12"/>
        <v>45577.191806746887</v>
      </c>
      <c r="R48" s="204">
        <f t="shared" si="12"/>
        <v>46201.180079901591</v>
      </c>
      <c r="S48" s="204">
        <f t="shared" si="12"/>
        <v>46832.340151221564</v>
      </c>
      <c r="T48" s="204">
        <f t="shared" si="12"/>
        <v>47470.73144270671</v>
      </c>
      <c r="U48" s="204">
        <f t="shared" si="12"/>
        <v>48116.412954396466</v>
      </c>
      <c r="W48" s="177">
        <f>SUM(B48:U48)</f>
        <v>825910.04443917179</v>
      </c>
    </row>
    <row r="49" spans="1:45">
      <c r="A49" s="266" t="s">
        <v>153</v>
      </c>
      <c r="B49" s="268">
        <f>B20</f>
        <v>174.46</v>
      </c>
      <c r="C49" s="268">
        <f t="shared" ref="C49:U49" si="13">C20</f>
        <v>348.92</v>
      </c>
      <c r="D49" s="268">
        <f t="shared" si="13"/>
        <v>436.15</v>
      </c>
      <c r="E49" s="268">
        <f t="shared" si="13"/>
        <v>436.15</v>
      </c>
      <c r="F49" s="268">
        <f t="shared" si="13"/>
        <v>436.15</v>
      </c>
      <c r="G49" s="268">
        <f t="shared" si="13"/>
        <v>523.38</v>
      </c>
      <c r="H49" s="268">
        <f t="shared" si="13"/>
        <v>523.38</v>
      </c>
      <c r="I49" s="268">
        <f t="shared" si="13"/>
        <v>523.38</v>
      </c>
      <c r="J49" s="268">
        <f t="shared" si="13"/>
        <v>523.38</v>
      </c>
      <c r="K49" s="268">
        <f t="shared" si="13"/>
        <v>523.38</v>
      </c>
      <c r="L49" s="268">
        <f t="shared" si="13"/>
        <v>523.38</v>
      </c>
      <c r="M49" s="268">
        <f t="shared" si="13"/>
        <v>523.38</v>
      </c>
      <c r="N49" s="268">
        <f t="shared" si="13"/>
        <v>872.3</v>
      </c>
      <c r="O49" s="268">
        <f t="shared" si="13"/>
        <v>872.3</v>
      </c>
      <c r="P49" s="268">
        <f t="shared" si="13"/>
        <v>1308.45</v>
      </c>
      <c r="Q49" s="268">
        <f t="shared" si="13"/>
        <v>743.93104499999993</v>
      </c>
      <c r="R49" s="268">
        <f t="shared" si="13"/>
        <v>758.80966589999991</v>
      </c>
      <c r="S49" s="268">
        <f t="shared" si="13"/>
        <v>773.98585921799997</v>
      </c>
      <c r="T49" s="268">
        <f t="shared" si="13"/>
        <v>789.46557640235994</v>
      </c>
      <c r="U49" s="268">
        <f t="shared" si="13"/>
        <v>805.25488793040722</v>
      </c>
      <c r="W49" s="177">
        <f>SUM(B49:U49)</f>
        <v>12419.987034450767</v>
      </c>
    </row>
    <row r="50" spans="1:45">
      <c r="A50" s="266" t="s">
        <v>154</v>
      </c>
      <c r="B50" s="353">
        <v>-92.2251014</v>
      </c>
      <c r="C50" s="268">
        <f>-B49</f>
        <v>-174.46</v>
      </c>
      <c r="D50" s="268">
        <f t="shared" ref="D50:U50" si="14">-C49</f>
        <v>-348.92</v>
      </c>
      <c r="E50" s="268">
        <f t="shared" si="14"/>
        <v>-436.15</v>
      </c>
      <c r="F50" s="268">
        <f t="shared" si="14"/>
        <v>-436.15</v>
      </c>
      <c r="G50" s="268">
        <f t="shared" si="14"/>
        <v>-436.15</v>
      </c>
      <c r="H50" s="268">
        <f t="shared" si="14"/>
        <v>-523.38</v>
      </c>
      <c r="I50" s="268">
        <f t="shared" si="14"/>
        <v>-523.38</v>
      </c>
      <c r="J50" s="268">
        <f t="shared" si="14"/>
        <v>-523.38</v>
      </c>
      <c r="K50" s="268">
        <f t="shared" si="14"/>
        <v>-523.38</v>
      </c>
      <c r="L50" s="268">
        <f t="shared" si="14"/>
        <v>-523.38</v>
      </c>
      <c r="M50" s="268">
        <f t="shared" si="14"/>
        <v>-523.38</v>
      </c>
      <c r="N50" s="268">
        <f t="shared" si="14"/>
        <v>-523.38</v>
      </c>
      <c r="O50" s="268">
        <f t="shared" si="14"/>
        <v>-872.3</v>
      </c>
      <c r="P50" s="268">
        <f t="shared" si="14"/>
        <v>-872.3</v>
      </c>
      <c r="Q50" s="268">
        <f t="shared" si="14"/>
        <v>-1308.45</v>
      </c>
      <c r="R50" s="268">
        <f t="shared" si="14"/>
        <v>-743.93104499999993</v>
      </c>
      <c r="S50" s="268">
        <f t="shared" si="14"/>
        <v>-758.80966589999991</v>
      </c>
      <c r="T50" s="268">
        <f t="shared" si="14"/>
        <v>-773.98585921799997</v>
      </c>
      <c r="U50" s="268">
        <f t="shared" si="14"/>
        <v>-789.46557640235994</v>
      </c>
      <c r="W50" s="177">
        <f>SUM(B50:U50)</f>
        <v>-11706.957247920362</v>
      </c>
    </row>
    <row r="51" spans="1:45">
      <c r="A51" s="266" t="s">
        <v>64</v>
      </c>
      <c r="B51" s="354">
        <f>-Debt!B77*Allocation!$E$6</f>
        <v>-11998.322855207383</v>
      </c>
      <c r="C51" s="354">
        <f>-Debt!C77*Allocation!$E$6</f>
        <v>-12031.285280633776</v>
      </c>
      <c r="D51" s="354">
        <f>-Debt!D77*Allocation!$E$6</f>
        <v>-12031.285280633776</v>
      </c>
      <c r="E51" s="354">
        <f>-Debt!E77*Allocation!$E$6</f>
        <v>-13460.230008298115</v>
      </c>
      <c r="F51" s="354">
        <f>-Debt!F77*Allocation!$E$6</f>
        <v>-13794.988024527314</v>
      </c>
      <c r="G51" s="354">
        <f>-Debt!G77*Allocation!$E$6</f>
        <v>-13840.518541306499</v>
      </c>
      <c r="H51" s="354">
        <f>-Debt!H77*Allocation!$E$6</f>
        <v>-13790.647380458675</v>
      </c>
      <c r="I51" s="354">
        <f>-Debt!I77*Allocation!$E$6</f>
        <v>-13880.402134336899</v>
      </c>
      <c r="J51" s="354">
        <f>-Debt!J77*Allocation!$E$6</f>
        <v>-13806.286832953154</v>
      </c>
      <c r="K51" s="354">
        <f>-Debt!K77*Allocation!$E$6</f>
        <v>-14687.949815750977</v>
      </c>
      <c r="L51" s="354">
        <f>-Debt!L77*Allocation!$E$6</f>
        <v>-18856.04640883024</v>
      </c>
      <c r="M51" s="354">
        <f>-Debt!M77*Allocation!$E$6</f>
        <v>-17863.265039963579</v>
      </c>
      <c r="N51" s="354">
        <f>-Debt!N77*Allocation!$E$6</f>
        <v>-16821.144262901096</v>
      </c>
      <c r="O51" s="354">
        <f>-Debt!O77*Allocation!$E$6</f>
        <v>-15803.693189936526</v>
      </c>
      <c r="P51" s="354">
        <f>-Debt!P77*Allocation!$E$6</f>
        <v>-15227.94978397842</v>
      </c>
      <c r="Q51" s="354">
        <f>-Debt!Q77*Allocation!$E$6</f>
        <v>-14614.714002865861</v>
      </c>
      <c r="R51" s="354">
        <f>-Debt!R77*Allocation!$E$6</f>
        <v>-13482.137644111053</v>
      </c>
      <c r="S51" s="354">
        <f>-Debt!S77*Allocation!$E$6</f>
        <v>-10596.110795824181</v>
      </c>
      <c r="T51" s="354">
        <f>-Debt!T77*Allocation!$E$6</f>
        <v>-9680.404830156067</v>
      </c>
      <c r="U51" s="354">
        <f>-Debt!U77*Allocation!$E$6</f>
        <v>-7857.8682181109234</v>
      </c>
      <c r="W51" s="177">
        <f>SUM(B51:U51)</f>
        <v>-274125.25033078453</v>
      </c>
    </row>
    <row r="52" spans="1:45">
      <c r="A52" s="266"/>
      <c r="B52" s="357"/>
      <c r="C52" s="357"/>
      <c r="D52" s="357"/>
      <c r="E52" s="357"/>
      <c r="F52" s="357"/>
      <c r="G52" s="357"/>
      <c r="H52" s="357"/>
      <c r="I52" s="357"/>
      <c r="J52" s="357"/>
      <c r="K52" s="357"/>
      <c r="L52" s="357"/>
      <c r="M52" s="357"/>
      <c r="N52" s="357"/>
      <c r="O52" s="357"/>
      <c r="P52" s="357"/>
      <c r="Q52" s="357"/>
      <c r="R52" s="357"/>
      <c r="S52" s="357"/>
      <c r="T52" s="357"/>
      <c r="U52" s="357"/>
      <c r="W52" s="259"/>
    </row>
    <row r="53" spans="1:45">
      <c r="A53" s="262" t="s">
        <v>65</v>
      </c>
      <c r="B53" s="355">
        <f t="shared" ref="B53:U53" si="15">SUM(B48:B51)</f>
        <v>19828.243793067893</v>
      </c>
      <c r="C53" s="355">
        <f t="shared" si="15"/>
        <v>21379.913609624055</v>
      </c>
      <c r="D53" s="355">
        <f t="shared" si="15"/>
        <v>22956.3242679748</v>
      </c>
      <c r="E53" s="355">
        <f t="shared" si="15"/>
        <v>23279.167980537437</v>
      </c>
      <c r="F53" s="355">
        <f t="shared" si="15"/>
        <v>24874.836561617427</v>
      </c>
      <c r="G53" s="355">
        <f t="shared" si="15"/>
        <v>25319.685461368957</v>
      </c>
      <c r="H53" s="355">
        <f t="shared" si="15"/>
        <v>25778.771847844055</v>
      </c>
      <c r="I53" s="355">
        <f t="shared" si="15"/>
        <v>26190.469082780186</v>
      </c>
      <c r="J53" s="355">
        <f t="shared" si="15"/>
        <v>26771.073892778586</v>
      </c>
      <c r="K53" s="355">
        <f t="shared" si="15"/>
        <v>26400.968085963217</v>
      </c>
      <c r="L53" s="355">
        <f t="shared" si="15"/>
        <v>23020.901487620031</v>
      </c>
      <c r="M53" s="355">
        <f t="shared" si="15"/>
        <v>24815.453887357293</v>
      </c>
      <c r="N53" s="355">
        <f t="shared" si="15"/>
        <v>26668.960961186302</v>
      </c>
      <c r="O53" s="355">
        <f t="shared" si="15"/>
        <v>28167.456058682106</v>
      </c>
      <c r="P53" s="355">
        <f t="shared" si="15"/>
        <v>29582.171084679776</v>
      </c>
      <c r="Q53" s="355">
        <f t="shared" si="15"/>
        <v>30397.958848881026</v>
      </c>
      <c r="R53" s="355">
        <f t="shared" si="15"/>
        <v>32733.921056690539</v>
      </c>
      <c r="S53" s="355">
        <f t="shared" si="15"/>
        <v>36251.405548715382</v>
      </c>
      <c r="T53" s="355">
        <f t="shared" si="15"/>
        <v>37805.806329735002</v>
      </c>
      <c r="U53" s="355">
        <f t="shared" si="15"/>
        <v>40274.334047813587</v>
      </c>
      <c r="V53" s="307"/>
      <c r="W53" s="177">
        <f>SUM(B53:U53)</f>
        <v>552497.82389491762</v>
      </c>
    </row>
    <row r="54" spans="1:45">
      <c r="A54" s="262"/>
      <c r="B54" s="346"/>
      <c r="C54" s="346"/>
      <c r="D54" s="346"/>
      <c r="E54" s="346"/>
      <c r="F54" s="346"/>
      <c r="G54" s="346"/>
      <c r="H54" s="346"/>
      <c r="I54" s="346"/>
      <c r="J54" s="346"/>
      <c r="K54" s="346"/>
      <c r="L54" s="346"/>
      <c r="M54" s="346"/>
      <c r="N54" s="346"/>
      <c r="O54" s="346"/>
      <c r="P54" s="346"/>
      <c r="Q54" s="346"/>
      <c r="R54" s="346"/>
      <c r="S54" s="346"/>
      <c r="T54" s="346"/>
      <c r="U54" s="346"/>
      <c r="W54" s="259"/>
    </row>
    <row r="55" spans="1:45" ht="15">
      <c r="A55" s="266" t="s">
        <v>88</v>
      </c>
      <c r="B55" s="393">
        <f>-B97</f>
        <v>-474.32356666156142</v>
      </c>
      <c r="C55" s="393">
        <f t="shared" ref="C55:U55" si="16">-C97</f>
        <v>0</v>
      </c>
      <c r="D55" s="393">
        <f t="shared" si="16"/>
        <v>-79.795421762421256</v>
      </c>
      <c r="E55" s="393">
        <f t="shared" si="16"/>
        <v>-388.8229333088874</v>
      </c>
      <c r="F55" s="393">
        <f t="shared" si="16"/>
        <v>-626.40169494367115</v>
      </c>
      <c r="G55" s="393">
        <f t="shared" si="16"/>
        <v>-763.5356812351655</v>
      </c>
      <c r="H55" s="393">
        <f t="shared" si="16"/>
        <v>-855.36526194021928</v>
      </c>
      <c r="I55" s="393">
        <f t="shared" si="16"/>
        <v>-898.91581825923754</v>
      </c>
      <c r="J55" s="393">
        <f t="shared" si="16"/>
        <v>-951.38865771864585</v>
      </c>
      <c r="K55" s="393">
        <f t="shared" si="16"/>
        <v>-1002.482537572148</v>
      </c>
      <c r="L55" s="393">
        <f t="shared" si="16"/>
        <v>-1088.3748738651179</v>
      </c>
      <c r="M55" s="393">
        <f t="shared" si="16"/>
        <v>-1194.6271439153406</v>
      </c>
      <c r="N55" s="393">
        <f t="shared" si="16"/>
        <v>-1286.3232422790938</v>
      </c>
      <c r="O55" s="393">
        <f t="shared" si="16"/>
        <v>-1395.7472741948295</v>
      </c>
      <c r="P55" s="393">
        <f t="shared" si="16"/>
        <v>-1483.1538699724833</v>
      </c>
      <c r="Q55" s="393">
        <f t="shared" si="16"/>
        <v>-2038.5709039421799</v>
      </c>
      <c r="R55" s="393">
        <f t="shared" si="16"/>
        <v>-2563.1225923905931</v>
      </c>
      <c r="S55" s="393">
        <f t="shared" si="16"/>
        <v>-2665.0665264318836</v>
      </c>
      <c r="T55" s="393">
        <f t="shared" si="16"/>
        <v>-2758.3123618610794</v>
      </c>
      <c r="U55" s="393">
        <f t="shared" si="16"/>
        <v>-2851.8618087176137</v>
      </c>
      <c r="W55" s="177">
        <f>SUM(B55:U55)</f>
        <v>-25366.192170972176</v>
      </c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>
      <c r="A56" s="266" t="s">
        <v>89</v>
      </c>
      <c r="B56" s="356">
        <f>-Allocation!$E$6*Tax!B24</f>
        <v>-2319.3821876311672</v>
      </c>
      <c r="C56" s="356">
        <f>-Allocation!$E$6*Tax!C24</f>
        <v>0</v>
      </c>
      <c r="D56" s="356">
        <f>-Allocation!$E$6*Tax!D24</f>
        <v>0</v>
      </c>
      <c r="E56" s="356">
        <f>-Allocation!$E$6*Tax!E24</f>
        <v>-1375.312587596921</v>
      </c>
      <c r="F56" s="356">
        <f>-Allocation!$E$6*Tax!F24</f>
        <v>-3076.0212055562961</v>
      </c>
      <c r="G56" s="356">
        <f>-Allocation!$E$6*Tax!G24</f>
        <v>-3884.5632092762967</v>
      </c>
      <c r="H56" s="356">
        <f>-Allocation!$E$6*Tax!H24</f>
        <v>-4440.8513516114335</v>
      </c>
      <c r="I56" s="356">
        <f>-Allocation!$E$6*Tax!I24</f>
        <v>-4730.3169395663772</v>
      </c>
      <c r="J56" s="356">
        <f>-Allocation!$E$6*Tax!J24</f>
        <v>-5081.2832469096957</v>
      </c>
      <c r="K56" s="356">
        <f>-Allocation!$E$6*Tax!K24</f>
        <v>-5434.176848534903</v>
      </c>
      <c r="L56" s="356">
        <f>-Allocation!$E$6*Tax!L24</f>
        <v>-5859.7420660596463</v>
      </c>
      <c r="M56" s="356">
        <f>-Allocation!$E$6*Tax!M24</f>
        <v>-6409.8110262746532</v>
      </c>
      <c r="N56" s="356">
        <f>-Allocation!$E$6*Tax!N24</f>
        <v>-6960.2851171175153</v>
      </c>
      <c r="O56" s="356">
        <f>-Allocation!$E$6*Tax!O24</f>
        <v>-7526.1553037092044</v>
      </c>
      <c r="P56" s="356">
        <f>-Allocation!$E$6*Tax!P24</f>
        <v>-8071.7521514395694</v>
      </c>
      <c r="Q56" s="356">
        <f>-Allocation!$E$6*Tax!Q24</f>
        <v>-11077.220029226892</v>
      </c>
      <c r="R56" s="356">
        <f>-Allocation!$E$6*Tax!R24</f>
        <v>-14047.208535387123</v>
      </c>
      <c r="S56" s="356">
        <f>-Allocation!$E$6*Tax!S24</f>
        <v>-14610.494004639479</v>
      </c>
      <c r="T56" s="356">
        <f>-Allocation!$E$6*Tax!T24</f>
        <v>-15126.988194744099</v>
      </c>
      <c r="U56" s="356">
        <f>-Allocation!$E$6*Tax!U24</f>
        <v>-15645.514922712424</v>
      </c>
      <c r="W56" s="177">
        <f>SUM(B56:U56)</f>
        <v>-135677.07892799372</v>
      </c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>
      <c r="A57" s="266"/>
      <c r="B57" s="347"/>
      <c r="C57" s="347"/>
      <c r="D57" s="347"/>
      <c r="E57" s="347"/>
      <c r="F57" s="347"/>
      <c r="G57" s="347"/>
      <c r="H57" s="347"/>
      <c r="I57" s="347"/>
      <c r="J57" s="347"/>
      <c r="K57" s="347"/>
      <c r="L57" s="347"/>
      <c r="M57" s="347"/>
      <c r="N57" s="347"/>
      <c r="O57" s="347"/>
      <c r="P57" s="347"/>
      <c r="Q57" s="347"/>
      <c r="R57" s="347"/>
      <c r="S57" s="347"/>
      <c r="T57" s="347"/>
      <c r="U57" s="347"/>
      <c r="W57" s="259"/>
    </row>
    <row r="58" spans="1:45" ht="15.75">
      <c r="A58" s="375" t="s">
        <v>66</v>
      </c>
      <c r="B58" s="358">
        <f t="shared" ref="B58:U58" si="17">B53+B56+B55</f>
        <v>17034.538038775165</v>
      </c>
      <c r="C58" s="358">
        <f t="shared" si="17"/>
        <v>21379.913609624055</v>
      </c>
      <c r="D58" s="358">
        <f t="shared" si="17"/>
        <v>22876.528846212379</v>
      </c>
      <c r="E58" s="358">
        <f t="shared" si="17"/>
        <v>21515.032459631631</v>
      </c>
      <c r="F58" s="358">
        <f t="shared" si="17"/>
        <v>21172.413661117462</v>
      </c>
      <c r="G58" s="358">
        <f t="shared" si="17"/>
        <v>20671.586570857497</v>
      </c>
      <c r="H58" s="358">
        <f t="shared" si="17"/>
        <v>20482.555234292402</v>
      </c>
      <c r="I58" s="358">
        <f t="shared" si="17"/>
        <v>20561.236324954574</v>
      </c>
      <c r="J58" s="358">
        <f t="shared" si="17"/>
        <v>20738.401988150243</v>
      </c>
      <c r="K58" s="358">
        <f t="shared" si="17"/>
        <v>19964.308699856167</v>
      </c>
      <c r="L58" s="358">
        <f t="shared" si="17"/>
        <v>16072.784547695266</v>
      </c>
      <c r="M58" s="358">
        <f t="shared" si="17"/>
        <v>17211.015717167298</v>
      </c>
      <c r="N58" s="358">
        <f t="shared" si="17"/>
        <v>18422.352601789691</v>
      </c>
      <c r="O58" s="358">
        <f t="shared" si="17"/>
        <v>19245.553480778071</v>
      </c>
      <c r="P58" s="358">
        <f t="shared" si="17"/>
        <v>20027.265063267721</v>
      </c>
      <c r="Q58" s="358">
        <f t="shared" si="17"/>
        <v>17282.167915711958</v>
      </c>
      <c r="R58" s="358">
        <f t="shared" si="17"/>
        <v>16123.589928912823</v>
      </c>
      <c r="S58" s="358">
        <f t="shared" si="17"/>
        <v>18975.84501764402</v>
      </c>
      <c r="T58" s="358">
        <f t="shared" si="17"/>
        <v>19920.505773129822</v>
      </c>
      <c r="U58" s="358">
        <f t="shared" si="17"/>
        <v>21776.957316383548</v>
      </c>
      <c r="V58" s="349"/>
      <c r="W58" s="177">
        <f>SUM(B58:U58)</f>
        <v>391454.55279595172</v>
      </c>
    </row>
    <row r="59" spans="1:45" s="307" customFormat="1">
      <c r="A59" s="359"/>
      <c r="B59" s="204"/>
      <c r="C59" s="208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  <c r="U59" s="204"/>
      <c r="V59" s="96"/>
      <c r="W59" s="96"/>
    </row>
    <row r="60" spans="1:45">
      <c r="A60" s="359"/>
      <c r="B60" s="204"/>
      <c r="C60" s="208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  <c r="U60" s="204"/>
    </row>
    <row r="61" spans="1:45">
      <c r="A61" s="376"/>
      <c r="B61" s="208"/>
      <c r="C61" s="208"/>
      <c r="D61" s="208"/>
      <c r="E61" s="208"/>
      <c r="F61" s="208"/>
      <c r="G61" s="208"/>
      <c r="H61" s="208"/>
      <c r="I61" s="208"/>
      <c r="J61" s="208"/>
      <c r="K61" s="208"/>
      <c r="L61" s="208"/>
      <c r="M61" s="208"/>
      <c r="N61" s="208"/>
      <c r="O61" s="208"/>
      <c r="P61" s="208"/>
      <c r="Q61" s="208"/>
      <c r="R61" s="208"/>
      <c r="S61" s="208"/>
      <c r="T61" s="208"/>
      <c r="U61" s="208"/>
    </row>
    <row r="62" spans="1:45" ht="18">
      <c r="A62" s="352" t="s">
        <v>171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45">
      <c r="A63" s="307"/>
      <c r="B63" s="308"/>
      <c r="C63" s="308"/>
      <c r="D63" s="308"/>
      <c r="E63" s="308"/>
      <c r="F63" s="308"/>
      <c r="G63" s="309"/>
      <c r="H63" s="308"/>
      <c r="I63" s="308"/>
      <c r="J63" s="308"/>
      <c r="K63" s="308"/>
      <c r="L63" s="308"/>
      <c r="M63" s="309"/>
      <c r="N63" s="308"/>
      <c r="O63" s="308"/>
      <c r="P63" s="308"/>
      <c r="Q63" s="308"/>
      <c r="R63" s="308"/>
      <c r="S63" s="309"/>
      <c r="T63" s="308"/>
      <c r="U63" s="308"/>
    </row>
    <row r="64" spans="1:45" s="349" customFormat="1" ht="15.75">
      <c r="A64" s="256"/>
      <c r="B64" s="311">
        <v>3</v>
      </c>
      <c r="C64" s="311">
        <v>4</v>
      </c>
      <c r="D64" s="311">
        <v>5</v>
      </c>
      <c r="E64" s="312">
        <v>6</v>
      </c>
      <c r="F64" s="311">
        <v>7</v>
      </c>
      <c r="G64" s="311">
        <v>8</v>
      </c>
      <c r="H64" s="311">
        <v>9</v>
      </c>
      <c r="I64" s="311">
        <v>10</v>
      </c>
      <c r="J64" s="311">
        <v>11</v>
      </c>
      <c r="K64" s="312">
        <v>12</v>
      </c>
      <c r="L64" s="311">
        <v>13</v>
      </c>
      <c r="M64" s="311">
        <v>14</v>
      </c>
      <c r="N64" s="311">
        <v>15</v>
      </c>
      <c r="O64" s="311">
        <v>16</v>
      </c>
      <c r="P64" s="311">
        <v>17</v>
      </c>
      <c r="Q64" s="312">
        <v>18</v>
      </c>
      <c r="R64" s="311">
        <v>19</v>
      </c>
      <c r="S64" s="311">
        <v>20</v>
      </c>
      <c r="T64" s="311">
        <v>21</v>
      </c>
      <c r="U64" s="311">
        <v>22</v>
      </c>
      <c r="V64" s="96"/>
      <c r="W64" s="96"/>
    </row>
    <row r="65" spans="1:23" ht="13.5" thickBot="1">
      <c r="A65" s="162" t="s">
        <v>49</v>
      </c>
      <c r="B65" s="163">
        <v>2001</v>
      </c>
      <c r="C65" s="163">
        <v>2002</v>
      </c>
      <c r="D65" s="163">
        <v>2003</v>
      </c>
      <c r="E65" s="163">
        <v>2004</v>
      </c>
      <c r="F65" s="163">
        <v>2005</v>
      </c>
      <c r="G65" s="163">
        <v>2006</v>
      </c>
      <c r="H65" s="163">
        <v>2007</v>
      </c>
      <c r="I65" s="163">
        <v>2008</v>
      </c>
      <c r="J65" s="163">
        <v>2009</v>
      </c>
      <c r="K65" s="163">
        <v>2010</v>
      </c>
      <c r="L65" s="163">
        <v>2011</v>
      </c>
      <c r="M65" s="163">
        <v>2012</v>
      </c>
      <c r="N65" s="163">
        <v>2013</v>
      </c>
      <c r="O65" s="163">
        <v>2014</v>
      </c>
      <c r="P65" s="163">
        <v>2015</v>
      </c>
      <c r="Q65" s="163">
        <v>2016</v>
      </c>
      <c r="R65" s="163">
        <v>2017</v>
      </c>
      <c r="S65" s="163">
        <v>2018</v>
      </c>
      <c r="T65" s="163">
        <v>2019</v>
      </c>
      <c r="U65" s="163">
        <v>2020</v>
      </c>
    </row>
    <row r="66" spans="1:23">
      <c r="A66" s="256"/>
      <c r="B66" s="314"/>
      <c r="C66" s="164"/>
      <c r="D66" s="164"/>
      <c r="E66" s="164"/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4"/>
      <c r="Q66" s="164"/>
      <c r="R66" s="164"/>
      <c r="S66" s="164"/>
      <c r="T66" s="164"/>
      <c r="U66" s="164"/>
    </row>
    <row r="67" spans="1:23">
      <c r="A67" s="256"/>
      <c r="B67" s="314"/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</row>
    <row r="68" spans="1:23">
      <c r="A68" s="315" t="s">
        <v>165</v>
      </c>
      <c r="B68" s="314"/>
      <c r="C68" s="164"/>
      <c r="D68" s="164"/>
      <c r="E68" s="164"/>
      <c r="F68" s="164"/>
      <c r="G68" s="164"/>
      <c r="H68" s="164"/>
      <c r="I68" s="164"/>
      <c r="J68" s="164"/>
      <c r="K68" s="164"/>
      <c r="L68" s="164"/>
      <c r="M68" s="164"/>
      <c r="N68" s="164"/>
      <c r="O68" s="164"/>
      <c r="P68" s="164"/>
      <c r="Q68" s="164"/>
      <c r="R68" s="164"/>
      <c r="S68" s="164"/>
      <c r="T68" s="164"/>
      <c r="U68" s="164"/>
    </row>
    <row r="69" spans="1:23">
      <c r="A69" s="256"/>
      <c r="B69" s="314"/>
      <c r="C69" s="164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</row>
    <row r="70" spans="1:23">
      <c r="A70" s="307" t="s">
        <v>172</v>
      </c>
      <c r="B70" s="360">
        <f>Depreciation!C14</f>
        <v>229707.95266543902</v>
      </c>
      <c r="C70" s="360">
        <f>Depreciation!D14</f>
        <v>222603.5829953739</v>
      </c>
      <c r="D70" s="360">
        <f>Depreciation!E14</f>
        <v>215499.21332530878</v>
      </c>
      <c r="E70" s="360">
        <f>Depreciation!F14</f>
        <v>208394.84365524366</v>
      </c>
      <c r="F70" s="360">
        <f>Depreciation!G14</f>
        <v>201290.47398517854</v>
      </c>
      <c r="G70" s="360">
        <f>Depreciation!H14</f>
        <v>194186.10431511342</v>
      </c>
      <c r="H70" s="360">
        <f>Depreciation!I14</f>
        <v>187081.7346450483</v>
      </c>
      <c r="I70" s="360">
        <f>Depreciation!J14</f>
        <v>179977.36497498318</v>
      </c>
      <c r="J70" s="360">
        <f>Depreciation!K14</f>
        <v>172872.99530491806</v>
      </c>
      <c r="K70" s="360">
        <f>Depreciation!L14</f>
        <v>165768.62563485294</v>
      </c>
      <c r="L70" s="360">
        <f>Depreciation!M14</f>
        <v>158664.25596478782</v>
      </c>
      <c r="M70" s="360">
        <f>Depreciation!N14</f>
        <v>151559.8862947227</v>
      </c>
      <c r="N70" s="360">
        <f>Depreciation!O14</f>
        <v>144455.51662465758</v>
      </c>
      <c r="O70" s="360">
        <f>Depreciation!P14</f>
        <v>137351.14695459246</v>
      </c>
      <c r="P70" s="360">
        <f>Depreciation!Q14</f>
        <v>130246.77728452734</v>
      </c>
      <c r="Q70" s="360">
        <f>Depreciation!R14</f>
        <v>123142.40761446222</v>
      </c>
      <c r="R70" s="360">
        <f>Depreciation!S14</f>
        <v>116038.0379443971</v>
      </c>
      <c r="S70" s="360">
        <f>Depreciation!T14</f>
        <v>108933.66827433198</v>
      </c>
      <c r="T70" s="360">
        <f>Depreciation!U14</f>
        <v>101829.29860426686</v>
      </c>
      <c r="U70" s="360">
        <f>Depreciation!V14</f>
        <v>94724.928934201744</v>
      </c>
      <c r="W70" s="361">
        <f t="shared" ref="W70:W78" si="18">SUM(B70:U70)</f>
        <v>3244328.8159964066</v>
      </c>
    </row>
    <row r="71" spans="1:23">
      <c r="A71" s="96" t="s">
        <v>163</v>
      </c>
      <c r="B71" s="360">
        <f>Allocation!$C$6*'Summary Output'!$C$7</f>
        <v>133195.39060358881</v>
      </c>
      <c r="C71" s="360">
        <f>Allocation!$C$6*'Summary Output'!$C$7</f>
        <v>133195.39060358881</v>
      </c>
      <c r="D71" s="360">
        <f>Allocation!$C$6*'Summary Output'!$C$7</f>
        <v>133195.39060358881</v>
      </c>
      <c r="E71" s="360">
        <f>Allocation!$C$6*'Summary Output'!$C$7</f>
        <v>133195.39060358881</v>
      </c>
      <c r="F71" s="360">
        <f>Allocation!$C$6*'Summary Output'!$C$7</f>
        <v>133195.39060358881</v>
      </c>
      <c r="G71" s="360">
        <f>Allocation!$C$6*'Summary Output'!$C$7</f>
        <v>133195.39060358881</v>
      </c>
      <c r="H71" s="360">
        <f>Allocation!$C$6*'Summary Output'!$C$7</f>
        <v>133195.39060358881</v>
      </c>
      <c r="I71" s="360">
        <f>Allocation!$C$6*'Summary Output'!$C$7</f>
        <v>133195.39060358881</v>
      </c>
      <c r="J71" s="360">
        <f>Allocation!$C$6*'Summary Output'!$C$7</f>
        <v>133195.39060358881</v>
      </c>
      <c r="K71" s="360">
        <f>Allocation!$C$6*'Summary Output'!$C$7</f>
        <v>133195.39060358881</v>
      </c>
      <c r="L71" s="360">
        <f>Allocation!$C$6*'Summary Output'!$C$7</f>
        <v>133195.39060358881</v>
      </c>
      <c r="M71" s="360">
        <f>Allocation!$C$6*'Summary Output'!$C$7</f>
        <v>133195.39060358881</v>
      </c>
      <c r="N71" s="360">
        <f>Allocation!$C$6*'Summary Output'!$C$7</f>
        <v>133195.39060358881</v>
      </c>
      <c r="O71" s="360">
        <f>Allocation!$C$6*'Summary Output'!$C$7</f>
        <v>133195.39060358881</v>
      </c>
      <c r="P71" s="360">
        <f>Allocation!$C$6*'Summary Output'!$C$7</f>
        <v>133195.39060358881</v>
      </c>
      <c r="Q71" s="360">
        <f>Allocation!$C$6*'Summary Output'!$C$7</f>
        <v>133195.39060358881</v>
      </c>
      <c r="R71" s="360">
        <f>Allocation!$C$6*'Summary Output'!$C$7</f>
        <v>133195.39060358881</v>
      </c>
      <c r="S71" s="360">
        <f>Allocation!$C$6*'Summary Output'!$C$7</f>
        <v>133195.39060358881</v>
      </c>
      <c r="T71" s="360">
        <f>Allocation!$C$6*'Summary Output'!$C$7</f>
        <v>133195.39060358881</v>
      </c>
      <c r="U71" s="360">
        <f>Allocation!$C$6*'Summary Output'!$C$7</f>
        <v>133195.39060358881</v>
      </c>
      <c r="W71" s="361">
        <f t="shared" si="18"/>
        <v>2663907.8120717769</v>
      </c>
    </row>
    <row r="72" spans="1:23">
      <c r="A72" s="362" t="s">
        <v>236</v>
      </c>
      <c r="B72" s="363">
        <f>B38-B58</f>
        <v>-9310.4964726650724</v>
      </c>
      <c r="C72" s="363">
        <f t="shared" ref="C72:U72" si="19">C38-C58+B72</f>
        <v>-22074.647795218618</v>
      </c>
      <c r="D72" s="363">
        <f t="shared" si="19"/>
        <v>-35318.929912108186</v>
      </c>
      <c r="E72" s="363">
        <f t="shared" si="19"/>
        <v>-46073.909373702307</v>
      </c>
      <c r="F72" s="363">
        <f t="shared" si="19"/>
        <v>-55181.057247026562</v>
      </c>
      <c r="G72" s="363">
        <f t="shared" si="19"/>
        <v>-63403.743238984745</v>
      </c>
      <c r="H72" s="363">
        <f t="shared" si="19"/>
        <v>-70979.751349723112</v>
      </c>
      <c r="I72" s="363">
        <f t="shared" si="19"/>
        <v>-78176.481486380289</v>
      </c>
      <c r="J72" s="363">
        <f t="shared" si="19"/>
        <v>-85030.498103966194</v>
      </c>
      <c r="K72" s="363">
        <f t="shared" si="19"/>
        <v>-90575.646190521817</v>
      </c>
      <c r="L72" s="363">
        <f t="shared" si="19"/>
        <v>-91369.069066561162</v>
      </c>
      <c r="M72" s="363">
        <f t="shared" si="19"/>
        <v>-92204.251595833077</v>
      </c>
      <c r="N72" s="363">
        <f t="shared" si="19"/>
        <v>-93331.468307617863</v>
      </c>
      <c r="O72" s="363">
        <f t="shared" si="19"/>
        <v>-94153.115273821095</v>
      </c>
      <c r="P72" s="363">
        <f t="shared" si="19"/>
        <v>-94880.852555072895</v>
      </c>
      <c r="Q72" s="363">
        <f t="shared" si="19"/>
        <v>-91475.919596780484</v>
      </c>
      <c r="R72" s="363">
        <f t="shared" si="19"/>
        <v>-85839.147661592229</v>
      </c>
      <c r="S72" s="363">
        <f t="shared" si="19"/>
        <v>-82016.501753481352</v>
      </c>
      <c r="T72" s="363">
        <f t="shared" si="19"/>
        <v>-78188.963176735648</v>
      </c>
      <c r="U72" s="363">
        <f t="shared" si="19"/>
        <v>-75265.230942754628</v>
      </c>
      <c r="W72" s="361">
        <f t="shared" si="18"/>
        <v>-1434849.6811005471</v>
      </c>
    </row>
    <row r="73" spans="1:23">
      <c r="A73" s="362" t="s">
        <v>169</v>
      </c>
      <c r="B73" s="364">
        <f>Debt!B73*Allocation!$E$6</f>
        <v>107797.39774331977</v>
      </c>
      <c r="C73" s="364">
        <f>Debt!C73*Allocation!$E$6</f>
        <v>107797.39774331977</v>
      </c>
      <c r="D73" s="364">
        <f>Debt!D73*Allocation!$E$6</f>
        <v>107797.39774331977</v>
      </c>
      <c r="E73" s="364">
        <f>Debt!E73*Allocation!$E$6</f>
        <v>106361.63468220861</v>
      </c>
      <c r="F73" s="364">
        <f>Debt!F73*Allocation!$E$6</f>
        <v>104385.34905691441</v>
      </c>
      <c r="G73" s="364">
        <f>Debt!G73*Allocation!$E$6</f>
        <v>102138.8021495287</v>
      </c>
      <c r="H73" s="364">
        <f>Debt!H73*Allocation!$E$6</f>
        <v>99689.559280574351</v>
      </c>
      <c r="I73" s="364">
        <f>Debt!I73*Allocation!$E$6</f>
        <v>96902.489809005623</v>
      </c>
      <c r="J73" s="364">
        <f>Debt!J73*Allocation!$E$6</f>
        <v>93845.159055345372</v>
      </c>
      <c r="K73" s="364">
        <f>Debt!K73*Allocation!$E$6</f>
        <v>89542.476598411144</v>
      </c>
      <c r="L73" s="364">
        <f>Debt!L73*Allocation!$E$6</f>
        <v>80451.869837151142</v>
      </c>
      <c r="M73" s="364">
        <f>Debt!M73*Allocation!$E$6</f>
        <v>71361.263075891125</v>
      </c>
      <c r="N73" s="364">
        <f>Debt!N73*Allocation!$E$6</f>
        <v>62270.656314631102</v>
      </c>
      <c r="O73" s="364">
        <f>Debt!O73*Allocation!$E$6</f>
        <v>53180.049553371085</v>
      </c>
      <c r="P73" s="364">
        <f>Debt!P73*Allocation!$E$6</f>
        <v>43634.91245404807</v>
      </c>
      <c r="Q73" s="364">
        <f>Debt!Q73*Allocation!$E$6</f>
        <v>33635.245016662055</v>
      </c>
      <c r="R73" s="364">
        <f>Debt!R73*Allocation!$E$6</f>
        <v>23635.57757927604</v>
      </c>
      <c r="S73" s="364">
        <f>Debt!S73*Allocation!$E$6</f>
        <v>15454.031494142026</v>
      </c>
      <c r="T73" s="364">
        <f>Debt!T73*Allocation!$E$6</f>
        <v>7272.4854090080134</v>
      </c>
      <c r="U73" s="364">
        <f>Debt!U73*Allocation!$E$6</f>
        <v>-6.7036692042706561E-12</v>
      </c>
      <c r="W73" s="361">
        <f t="shared" si="18"/>
        <v>1407153.7545961281</v>
      </c>
    </row>
    <row r="74" spans="1:23">
      <c r="A74" s="307" t="s">
        <v>173</v>
      </c>
      <c r="B74" s="365">
        <f>SUM(B71:B73)</f>
        <v>231682.2918742435</v>
      </c>
      <c r="C74" s="365">
        <f t="shared" ref="C74:U74" si="20">SUM(C71:C73)</f>
        <v>218918.14055168995</v>
      </c>
      <c r="D74" s="365">
        <f t="shared" si="20"/>
        <v>205673.85843480041</v>
      </c>
      <c r="E74" s="365">
        <f t="shared" si="20"/>
        <v>193483.11591209512</v>
      </c>
      <c r="F74" s="365">
        <f t="shared" si="20"/>
        <v>182399.68241347664</v>
      </c>
      <c r="G74" s="365">
        <f t="shared" si="20"/>
        <v>171930.44951413275</v>
      </c>
      <c r="H74" s="365">
        <f t="shared" si="20"/>
        <v>161905.19853444005</v>
      </c>
      <c r="I74" s="365">
        <f t="shared" si="20"/>
        <v>151921.39892621414</v>
      </c>
      <c r="J74" s="365">
        <f t="shared" si="20"/>
        <v>142010.051554968</v>
      </c>
      <c r="K74" s="365">
        <f t="shared" si="20"/>
        <v>132162.22101147813</v>
      </c>
      <c r="L74" s="365">
        <f t="shared" si="20"/>
        <v>122278.19137417879</v>
      </c>
      <c r="M74" s="365">
        <f t="shared" si="20"/>
        <v>112352.40208364686</v>
      </c>
      <c r="N74" s="365">
        <f t="shared" si="20"/>
        <v>102134.57861060204</v>
      </c>
      <c r="O74" s="365">
        <f t="shared" si="20"/>
        <v>92222.32488313879</v>
      </c>
      <c r="P74" s="365">
        <f t="shared" si="20"/>
        <v>81949.450502563981</v>
      </c>
      <c r="Q74" s="365">
        <f t="shared" si="20"/>
        <v>75354.716023470377</v>
      </c>
      <c r="R74" s="365">
        <f t="shared" si="20"/>
        <v>70991.820521272617</v>
      </c>
      <c r="S74" s="365">
        <f t="shared" si="20"/>
        <v>66632.920344249476</v>
      </c>
      <c r="T74" s="365">
        <f t="shared" si="20"/>
        <v>62278.912835861171</v>
      </c>
      <c r="U74" s="365">
        <f t="shared" si="20"/>
        <v>57930.159660834172</v>
      </c>
      <c r="W74" s="361">
        <f t="shared" si="18"/>
        <v>2636211.8855673568</v>
      </c>
    </row>
    <row r="75" spans="1:23">
      <c r="A75" s="256"/>
      <c r="B75" s="365"/>
      <c r="C75" s="365"/>
      <c r="D75" s="365"/>
      <c r="E75" s="365"/>
      <c r="F75" s="365"/>
      <c r="G75" s="365"/>
      <c r="H75" s="365"/>
      <c r="I75" s="365"/>
      <c r="J75" s="365"/>
      <c r="K75" s="365"/>
      <c r="L75" s="365"/>
      <c r="M75" s="365"/>
      <c r="N75" s="365"/>
      <c r="O75" s="365"/>
      <c r="P75" s="365"/>
      <c r="Q75" s="365"/>
      <c r="R75" s="365"/>
      <c r="S75" s="365"/>
      <c r="T75" s="365"/>
      <c r="U75" s="365"/>
      <c r="W75" s="361"/>
    </row>
    <row r="76" spans="1:23">
      <c r="A76" s="307" t="s">
        <v>183</v>
      </c>
      <c r="B76" s="365">
        <f>MAX(B74,B70)</f>
        <v>231682.2918742435</v>
      </c>
      <c r="C76" s="365">
        <f t="shared" ref="C76:U76" si="21">MAX(C74,C70)</f>
        <v>222603.5829953739</v>
      </c>
      <c r="D76" s="365">
        <f t="shared" si="21"/>
        <v>215499.21332530878</v>
      </c>
      <c r="E76" s="365">
        <f t="shared" si="21"/>
        <v>208394.84365524366</v>
      </c>
      <c r="F76" s="365">
        <f t="shared" si="21"/>
        <v>201290.47398517854</v>
      </c>
      <c r="G76" s="365">
        <f t="shared" si="21"/>
        <v>194186.10431511342</v>
      </c>
      <c r="H76" s="365">
        <f t="shared" si="21"/>
        <v>187081.7346450483</v>
      </c>
      <c r="I76" s="365">
        <f t="shared" si="21"/>
        <v>179977.36497498318</v>
      </c>
      <c r="J76" s="365">
        <f t="shared" si="21"/>
        <v>172872.99530491806</v>
      </c>
      <c r="K76" s="365">
        <f t="shared" si="21"/>
        <v>165768.62563485294</v>
      </c>
      <c r="L76" s="365">
        <f t="shared" si="21"/>
        <v>158664.25596478782</v>
      </c>
      <c r="M76" s="365">
        <f t="shared" si="21"/>
        <v>151559.8862947227</v>
      </c>
      <c r="N76" s="365">
        <f t="shared" si="21"/>
        <v>144455.51662465758</v>
      </c>
      <c r="O76" s="365">
        <f t="shared" si="21"/>
        <v>137351.14695459246</v>
      </c>
      <c r="P76" s="365">
        <f t="shared" si="21"/>
        <v>130246.77728452734</v>
      </c>
      <c r="Q76" s="365">
        <f t="shared" si="21"/>
        <v>123142.40761446222</v>
      </c>
      <c r="R76" s="365">
        <f t="shared" si="21"/>
        <v>116038.0379443971</v>
      </c>
      <c r="S76" s="365">
        <f t="shared" si="21"/>
        <v>108933.66827433198</v>
      </c>
      <c r="T76" s="365">
        <f t="shared" si="21"/>
        <v>101829.29860426686</v>
      </c>
      <c r="U76" s="365">
        <f t="shared" si="21"/>
        <v>94724.928934201744</v>
      </c>
      <c r="W76" s="361">
        <f t="shared" si="18"/>
        <v>3246303.1552052111</v>
      </c>
    </row>
    <row r="77" spans="1:23">
      <c r="A77" s="362" t="s">
        <v>166</v>
      </c>
      <c r="B77" s="366">
        <f>Assumptions!$C$41</f>
        <v>2.5000000000000001E-3</v>
      </c>
      <c r="C77" s="366">
        <f>Assumptions!$C$42</f>
        <v>2.5000000000000001E-3</v>
      </c>
      <c r="D77" s="366">
        <f>Assumptions!$C$42</f>
        <v>2.5000000000000001E-3</v>
      </c>
      <c r="E77" s="366">
        <f>Assumptions!$C$42</f>
        <v>2.5000000000000001E-3</v>
      </c>
      <c r="F77" s="366">
        <f>Assumptions!$C$42</f>
        <v>2.5000000000000001E-3</v>
      </c>
      <c r="G77" s="366">
        <f>Assumptions!$C$42</f>
        <v>2.5000000000000001E-3</v>
      </c>
      <c r="H77" s="366">
        <f>Assumptions!$C$42</f>
        <v>2.5000000000000001E-3</v>
      </c>
      <c r="I77" s="366">
        <f>Assumptions!$C$42</f>
        <v>2.5000000000000001E-3</v>
      </c>
      <c r="J77" s="366">
        <f>Assumptions!$C$42</f>
        <v>2.5000000000000001E-3</v>
      </c>
      <c r="K77" s="366">
        <f>Assumptions!$C$42</f>
        <v>2.5000000000000001E-3</v>
      </c>
      <c r="L77" s="366">
        <f>Assumptions!$C$42</f>
        <v>2.5000000000000001E-3</v>
      </c>
      <c r="M77" s="366">
        <f>Assumptions!$C$42</f>
        <v>2.5000000000000001E-3</v>
      </c>
      <c r="N77" s="366">
        <f>Assumptions!$C$42</f>
        <v>2.5000000000000001E-3</v>
      </c>
      <c r="O77" s="366">
        <f>Assumptions!$C$42</f>
        <v>2.5000000000000001E-3</v>
      </c>
      <c r="P77" s="366">
        <f>Assumptions!$C$42</f>
        <v>2.5000000000000001E-3</v>
      </c>
      <c r="Q77" s="366">
        <f>Assumptions!$C$42</f>
        <v>2.5000000000000001E-3</v>
      </c>
      <c r="R77" s="366">
        <f>Assumptions!$C$42</f>
        <v>2.5000000000000001E-3</v>
      </c>
      <c r="S77" s="366">
        <f>Assumptions!$C$42</f>
        <v>2.5000000000000001E-3</v>
      </c>
      <c r="T77" s="366">
        <f>Assumptions!$C$42</f>
        <v>2.5000000000000001E-3</v>
      </c>
      <c r="U77" s="366">
        <f>Assumptions!$C$42</f>
        <v>2.5000000000000001E-3</v>
      </c>
      <c r="W77" s="361"/>
    </row>
    <row r="78" spans="1:23">
      <c r="A78" s="256" t="s">
        <v>167</v>
      </c>
      <c r="B78" s="367">
        <v>608.98829025895418</v>
      </c>
      <c r="C78" s="367">
        <v>590.15360086950193</v>
      </c>
      <c r="D78" s="367">
        <v>571.31891148004979</v>
      </c>
      <c r="E78" s="367">
        <v>552.48422209059765</v>
      </c>
      <c r="F78" s="367">
        <v>533.6495327011454</v>
      </c>
      <c r="G78" s="367">
        <v>514.81484331169327</v>
      </c>
      <c r="H78" s="367">
        <v>495.98015392224107</v>
      </c>
      <c r="I78" s="367">
        <v>477.14546453278894</v>
      </c>
      <c r="J78" s="367">
        <v>458.31077514333674</v>
      </c>
      <c r="K78" s="367">
        <v>439.47608575388455</v>
      </c>
      <c r="L78" s="367">
        <v>420.64139636443235</v>
      </c>
      <c r="M78" s="367">
        <v>401.80670697498022</v>
      </c>
      <c r="N78" s="367">
        <v>382.97201758552802</v>
      </c>
      <c r="O78" s="367">
        <v>364.13732819607583</v>
      </c>
      <c r="P78" s="367">
        <v>345.30263880662363</v>
      </c>
      <c r="Q78" s="367">
        <v>326.4679494171715</v>
      </c>
      <c r="R78" s="367">
        <v>307.6332600277193</v>
      </c>
      <c r="S78" s="367">
        <v>288.79857063826711</v>
      </c>
      <c r="T78" s="367">
        <v>269.96388124881497</v>
      </c>
      <c r="U78" s="367">
        <v>251.12919185936278</v>
      </c>
      <c r="W78" s="361">
        <f t="shared" si="18"/>
        <v>8601.1748211831709</v>
      </c>
    </row>
    <row r="79" spans="1:23">
      <c r="A79" s="362"/>
      <c r="B79" s="368"/>
      <c r="C79" s="368"/>
      <c r="D79" s="368"/>
      <c r="E79" s="368"/>
      <c r="F79" s="368"/>
      <c r="G79" s="368"/>
      <c r="H79" s="368"/>
      <c r="I79" s="368"/>
      <c r="J79" s="368"/>
      <c r="K79" s="368"/>
      <c r="L79" s="368"/>
      <c r="M79" s="368"/>
      <c r="N79" s="368"/>
      <c r="O79" s="368"/>
      <c r="P79" s="368"/>
      <c r="Q79" s="368"/>
      <c r="R79" s="368"/>
      <c r="S79" s="368"/>
      <c r="T79" s="368"/>
      <c r="U79" s="368"/>
    </row>
    <row r="80" spans="1:23">
      <c r="A80" s="256"/>
      <c r="B80" s="314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4"/>
      <c r="S80" s="164"/>
      <c r="T80" s="164"/>
      <c r="U80" s="164"/>
    </row>
    <row r="81" spans="1:44">
      <c r="A81" s="315" t="s">
        <v>76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spans="1:44">
      <c r="A82" s="315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spans="1:44">
      <c r="A83" s="38" t="s">
        <v>235</v>
      </c>
      <c r="B83" s="322">
        <f t="shared" ref="B83:U83" si="22">B33</f>
        <v>12641.639224402772</v>
      </c>
      <c r="C83" s="322">
        <f t="shared" si="22"/>
        <v>14101.083939558932</v>
      </c>
      <c r="D83" s="322">
        <f t="shared" si="22"/>
        <v>15764.724597909673</v>
      </c>
      <c r="E83" s="322">
        <f t="shared" si="22"/>
        <v>17610.561371583484</v>
      </c>
      <c r="F83" s="322">
        <f t="shared" si="22"/>
        <v>19746.7525168465</v>
      </c>
      <c r="G83" s="322">
        <f t="shared" si="22"/>
        <v>20374.632698689544</v>
      </c>
      <c r="H83" s="322">
        <f t="shared" si="22"/>
        <v>21123.645046733276</v>
      </c>
      <c r="I83" s="322">
        <f t="shared" si="22"/>
        <v>21873.168884283798</v>
      </c>
      <c r="J83" s="322">
        <f t="shared" si="22"/>
        <v>22724.034976373718</v>
      </c>
      <c r="K83" s="322">
        <f t="shared" si="22"/>
        <v>23599.280872832307</v>
      </c>
      <c r="L83" s="322">
        <f t="shared" si="22"/>
        <v>25007.13857881492</v>
      </c>
      <c r="M83" s="322">
        <f t="shared" si="22"/>
        <v>26801.690978552182</v>
      </c>
      <c r="N83" s="322">
        <f t="shared" si="22"/>
        <v>28306.278052381182</v>
      </c>
      <c r="O83" s="322">
        <f t="shared" si="22"/>
        <v>30153.693149876992</v>
      </c>
      <c r="P83" s="322">
        <f t="shared" si="22"/>
        <v>31586.788513937674</v>
      </c>
      <c r="Q83" s="322">
        <f t="shared" si="22"/>
        <v>33857.775571201913</v>
      </c>
      <c r="R83" s="322">
        <f t="shared" si="22"/>
        <v>35614.340203111424</v>
      </c>
      <c r="S83" s="322">
        <f t="shared" si="22"/>
        <v>37313.40577046627</v>
      </c>
      <c r="T83" s="322">
        <f t="shared" si="22"/>
        <v>38867.503027619532</v>
      </c>
      <c r="U83" s="322">
        <f t="shared" si="22"/>
        <v>40426.660475228433</v>
      </c>
      <c r="W83" s="361">
        <f>SUM(B83:U83)</f>
        <v>517494.79845040455</v>
      </c>
    </row>
    <row r="84" spans="1:44">
      <c r="A84" s="38" t="s">
        <v>119</v>
      </c>
      <c r="B84" s="322">
        <f>B27</f>
        <v>7104.3696700651244</v>
      </c>
      <c r="C84" s="322">
        <f t="shared" ref="C84:U84" si="23">C27</f>
        <v>7104.3696700651244</v>
      </c>
      <c r="D84" s="322">
        <f t="shared" si="23"/>
        <v>7104.3696700651244</v>
      </c>
      <c r="E84" s="322">
        <f t="shared" si="23"/>
        <v>7104.3696700651244</v>
      </c>
      <c r="F84" s="322">
        <f t="shared" si="23"/>
        <v>7104.3696700651244</v>
      </c>
      <c r="G84" s="322">
        <f t="shared" si="23"/>
        <v>7104.3696700651244</v>
      </c>
      <c r="H84" s="322">
        <f t="shared" si="23"/>
        <v>7104.3696700651244</v>
      </c>
      <c r="I84" s="322">
        <f t="shared" si="23"/>
        <v>7104.3696700651244</v>
      </c>
      <c r="J84" s="322">
        <f t="shared" si="23"/>
        <v>7104.3696700651244</v>
      </c>
      <c r="K84" s="322">
        <f t="shared" si="23"/>
        <v>7104.3696700651244</v>
      </c>
      <c r="L84" s="322">
        <f t="shared" si="23"/>
        <v>7104.3696700651244</v>
      </c>
      <c r="M84" s="322">
        <f t="shared" si="23"/>
        <v>7104.3696700651244</v>
      </c>
      <c r="N84" s="322">
        <f t="shared" si="23"/>
        <v>7104.3696700651244</v>
      </c>
      <c r="O84" s="322">
        <f t="shared" si="23"/>
        <v>7104.3696700651244</v>
      </c>
      <c r="P84" s="322">
        <f t="shared" si="23"/>
        <v>7104.3696700651244</v>
      </c>
      <c r="Q84" s="322">
        <f t="shared" si="23"/>
        <v>7104.3696700651244</v>
      </c>
      <c r="R84" s="322">
        <f t="shared" si="23"/>
        <v>7104.3696700651244</v>
      </c>
      <c r="S84" s="322">
        <f t="shared" si="23"/>
        <v>7104.3696700651244</v>
      </c>
      <c r="T84" s="322">
        <f t="shared" si="23"/>
        <v>7104.3696700651244</v>
      </c>
      <c r="U84" s="322">
        <f t="shared" si="23"/>
        <v>7104.3696700651244</v>
      </c>
      <c r="W84" s="361">
        <f>SUM(B84:U84)</f>
        <v>142087.39340130246</v>
      </c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</row>
    <row r="85" spans="1:44" ht="15">
      <c r="A85" s="38" t="s">
        <v>178</v>
      </c>
      <c r="B85" s="369">
        <f>-Depreciation!C45</f>
        <v>-11840.616116775207</v>
      </c>
      <c r="C85" s="369">
        <f>-Depreciation!D45</f>
        <v>-22497.170621872894</v>
      </c>
      <c r="D85" s="369">
        <f>-Depreciation!E45</f>
        <v>-20247.453559685604</v>
      </c>
      <c r="E85" s="369">
        <f>-Depreciation!F45</f>
        <v>-18234.548819833817</v>
      </c>
      <c r="F85" s="369">
        <f>-Depreciation!G45</f>
        <v>-16411.093937850437</v>
      </c>
      <c r="G85" s="369">
        <f>-Depreciation!H45</f>
        <v>-14753.407681501909</v>
      </c>
      <c r="H85" s="369">
        <f>-Depreciation!I45</f>
        <v>-13971.927017794744</v>
      </c>
      <c r="I85" s="369">
        <f>-Depreciation!J45</f>
        <v>-13995.608250028296</v>
      </c>
      <c r="J85" s="369">
        <f>-Depreciation!K45</f>
        <v>-13971.927017794744</v>
      </c>
      <c r="K85" s="369">
        <f>-Depreciation!L45</f>
        <v>-13995.608250028296</v>
      </c>
      <c r="L85" s="369">
        <f>-Depreciation!M45</f>
        <v>-13971.927017794744</v>
      </c>
      <c r="M85" s="369">
        <f>-Depreciation!N45</f>
        <v>-13995.608250028296</v>
      </c>
      <c r="N85" s="369">
        <f>-Depreciation!O45</f>
        <v>-13971.927017794744</v>
      </c>
      <c r="O85" s="369">
        <f>-Depreciation!P45</f>
        <v>-13995.608250028296</v>
      </c>
      <c r="P85" s="369">
        <f>-Depreciation!Q45</f>
        <v>-13971.927017794744</v>
      </c>
      <c r="Q85" s="369">
        <f>-Depreciation!R45</f>
        <v>-6985.9635088973719</v>
      </c>
      <c r="R85" s="369">
        <f>-Depreciation!S45</f>
        <v>0</v>
      </c>
      <c r="S85" s="369">
        <f>-Depreciation!T45</f>
        <v>0</v>
      </c>
      <c r="T85" s="369">
        <f>-Depreciation!U45</f>
        <v>0</v>
      </c>
      <c r="U85" s="369">
        <f>-Depreciation!V45</f>
        <v>0</v>
      </c>
      <c r="W85" s="370">
        <f>SUM(B85:U85)</f>
        <v>-236812.3223355042</v>
      </c>
    </row>
    <row r="86" spans="1:44">
      <c r="A86" s="327" t="s">
        <v>118</v>
      </c>
      <c r="B86" s="267">
        <f t="shared" ref="B86:U86" si="24">SUM(B83:B85)</f>
        <v>7905.3927776926903</v>
      </c>
      <c r="C86" s="267">
        <f t="shared" si="24"/>
        <v>-1291.7170122488387</v>
      </c>
      <c r="D86" s="267">
        <f t="shared" si="24"/>
        <v>2621.6407082891928</v>
      </c>
      <c r="E86" s="267">
        <f t="shared" si="24"/>
        <v>6480.3822218147907</v>
      </c>
      <c r="F86" s="267">
        <f t="shared" si="24"/>
        <v>10440.028249061186</v>
      </c>
      <c r="G86" s="267">
        <f t="shared" si="24"/>
        <v>12725.594687252758</v>
      </c>
      <c r="H86" s="267">
        <f t="shared" si="24"/>
        <v>14256.087699003656</v>
      </c>
      <c r="I86" s="267">
        <f t="shared" si="24"/>
        <v>14981.930304320626</v>
      </c>
      <c r="J86" s="267">
        <f t="shared" si="24"/>
        <v>15856.477628644097</v>
      </c>
      <c r="K86" s="267">
        <f t="shared" si="24"/>
        <v>16708.042292869133</v>
      </c>
      <c r="L86" s="267">
        <f t="shared" si="24"/>
        <v>18139.5812310853</v>
      </c>
      <c r="M86" s="267">
        <f t="shared" si="24"/>
        <v>19910.452398589012</v>
      </c>
      <c r="N86" s="267">
        <f t="shared" si="24"/>
        <v>21438.720704651565</v>
      </c>
      <c r="O86" s="267">
        <f t="shared" si="24"/>
        <v>23262.454569913825</v>
      </c>
      <c r="P86" s="267">
        <f t="shared" si="24"/>
        <v>24719.231166208057</v>
      </c>
      <c r="Q86" s="267">
        <f t="shared" si="24"/>
        <v>33976.181732369667</v>
      </c>
      <c r="R86" s="267">
        <f t="shared" si="24"/>
        <v>42718.709873176551</v>
      </c>
      <c r="S86" s="267">
        <f t="shared" si="24"/>
        <v>44417.775440531397</v>
      </c>
      <c r="T86" s="267">
        <f t="shared" si="24"/>
        <v>45971.872697684659</v>
      </c>
      <c r="U86" s="267">
        <f t="shared" si="24"/>
        <v>47531.03014529356</v>
      </c>
      <c r="W86" s="361">
        <f>SUM(B86:U86)</f>
        <v>422769.86951620283</v>
      </c>
    </row>
    <row r="87" spans="1:44">
      <c r="A87" s="38"/>
      <c r="B87" s="267"/>
      <c r="C87" s="267"/>
      <c r="D87" s="267"/>
      <c r="E87" s="267"/>
      <c r="F87" s="267"/>
      <c r="G87" s="267"/>
      <c r="H87" s="267"/>
      <c r="I87" s="267"/>
      <c r="J87" s="267"/>
      <c r="K87" s="267"/>
      <c r="L87" s="267"/>
      <c r="M87" s="267"/>
      <c r="N87" s="267"/>
      <c r="O87" s="267"/>
      <c r="P87" s="267"/>
      <c r="Q87" s="267"/>
      <c r="R87" s="267"/>
      <c r="S87" s="267"/>
      <c r="T87" s="267"/>
      <c r="U87" s="267"/>
    </row>
    <row r="88" spans="1:44">
      <c r="A88" s="38" t="s">
        <v>35</v>
      </c>
      <c r="B88" s="371">
        <f>Assumptions!$C$38</f>
        <v>0.06</v>
      </c>
      <c r="C88" s="371">
        <f>Assumptions!$C$38</f>
        <v>0.06</v>
      </c>
      <c r="D88" s="371">
        <f>Assumptions!$C$38</f>
        <v>0.06</v>
      </c>
      <c r="E88" s="371">
        <f>Assumptions!$C$38</f>
        <v>0.06</v>
      </c>
      <c r="F88" s="371">
        <f>Assumptions!$C$38</f>
        <v>0.06</v>
      </c>
      <c r="G88" s="371">
        <f>Assumptions!$C$38</f>
        <v>0.06</v>
      </c>
      <c r="H88" s="371">
        <f>Assumptions!$C$38</f>
        <v>0.06</v>
      </c>
      <c r="I88" s="371">
        <f>Assumptions!$C$38</f>
        <v>0.06</v>
      </c>
      <c r="J88" s="371">
        <f>Assumptions!$C$38</f>
        <v>0.06</v>
      </c>
      <c r="K88" s="371">
        <f>Assumptions!$C$38</f>
        <v>0.06</v>
      </c>
      <c r="L88" s="371">
        <f>Assumptions!$C$38</f>
        <v>0.06</v>
      </c>
      <c r="M88" s="371">
        <f>Assumptions!$C$38</f>
        <v>0.06</v>
      </c>
      <c r="N88" s="371">
        <f>Assumptions!$C$38</f>
        <v>0.06</v>
      </c>
      <c r="O88" s="371">
        <f>Assumptions!$C$38</f>
        <v>0.06</v>
      </c>
      <c r="P88" s="371">
        <f>Assumptions!$C$38</f>
        <v>0.06</v>
      </c>
      <c r="Q88" s="371">
        <f>Assumptions!$C$38</f>
        <v>0.06</v>
      </c>
      <c r="R88" s="371">
        <f>Assumptions!$C$38</f>
        <v>0.06</v>
      </c>
      <c r="S88" s="371">
        <f>Assumptions!$C$38</f>
        <v>0.06</v>
      </c>
      <c r="T88" s="371">
        <f>Assumptions!$C$38</f>
        <v>0.06</v>
      </c>
      <c r="U88" s="371">
        <f>Assumptions!$C$38</f>
        <v>0.06</v>
      </c>
    </row>
    <row r="89" spans="1:44">
      <c r="A89" s="38" t="s">
        <v>120</v>
      </c>
      <c r="B89" s="322">
        <f>B86*B88</f>
        <v>474.32356666156142</v>
      </c>
      <c r="C89" s="322">
        <f t="shared" ref="C89:U89" si="25">C86*C88</f>
        <v>-77.503020734930317</v>
      </c>
      <c r="D89" s="322">
        <f t="shared" si="25"/>
        <v>157.29844249735157</v>
      </c>
      <c r="E89" s="322">
        <f t="shared" si="25"/>
        <v>388.8229333088874</v>
      </c>
      <c r="F89" s="322">
        <f t="shared" si="25"/>
        <v>626.40169494367115</v>
      </c>
      <c r="G89" s="322">
        <f t="shared" si="25"/>
        <v>763.5356812351655</v>
      </c>
      <c r="H89" s="322">
        <f t="shared" si="25"/>
        <v>855.36526194021928</v>
      </c>
      <c r="I89" s="322">
        <f t="shared" si="25"/>
        <v>898.91581825923754</v>
      </c>
      <c r="J89" s="322">
        <f t="shared" si="25"/>
        <v>951.38865771864585</v>
      </c>
      <c r="K89" s="322">
        <f t="shared" si="25"/>
        <v>1002.482537572148</v>
      </c>
      <c r="L89" s="322">
        <f t="shared" si="25"/>
        <v>1088.3748738651179</v>
      </c>
      <c r="M89" s="322">
        <f t="shared" si="25"/>
        <v>1194.6271439153406</v>
      </c>
      <c r="N89" s="322">
        <f t="shared" si="25"/>
        <v>1286.3232422790938</v>
      </c>
      <c r="O89" s="322">
        <f t="shared" si="25"/>
        <v>1395.7472741948295</v>
      </c>
      <c r="P89" s="322">
        <f t="shared" si="25"/>
        <v>1483.1538699724833</v>
      </c>
      <c r="Q89" s="322">
        <f t="shared" si="25"/>
        <v>2038.5709039421799</v>
      </c>
      <c r="R89" s="322">
        <f t="shared" si="25"/>
        <v>2563.1225923905931</v>
      </c>
      <c r="S89" s="322">
        <f t="shared" si="25"/>
        <v>2665.0665264318836</v>
      </c>
      <c r="T89" s="322">
        <f t="shared" si="25"/>
        <v>2758.3123618610794</v>
      </c>
      <c r="U89" s="322">
        <f t="shared" si="25"/>
        <v>2851.8618087176137</v>
      </c>
    </row>
    <row r="90" spans="1:44">
      <c r="A90" s="38"/>
      <c r="B90" s="267"/>
      <c r="C90" s="267"/>
      <c r="D90" s="267"/>
      <c r="E90" s="267"/>
      <c r="F90" s="267"/>
      <c r="G90" s="267"/>
      <c r="H90" s="267"/>
      <c r="I90" s="267"/>
      <c r="J90" s="267"/>
      <c r="K90" s="267"/>
      <c r="L90" s="267"/>
      <c r="M90" s="267"/>
      <c r="N90" s="267"/>
      <c r="O90" s="267"/>
      <c r="P90" s="267"/>
      <c r="Q90" s="267"/>
      <c r="R90" s="267"/>
      <c r="S90" s="267"/>
      <c r="T90" s="267"/>
      <c r="U90" s="267"/>
    </row>
    <row r="91" spans="1:44">
      <c r="A91" s="38" t="s">
        <v>121</v>
      </c>
      <c r="B91" s="322">
        <v>0</v>
      </c>
      <c r="C91" s="322">
        <f t="shared" ref="C91:U91" si="26">B95</f>
        <v>0</v>
      </c>
      <c r="D91" s="322">
        <f t="shared" si="26"/>
        <v>77.503020734930317</v>
      </c>
      <c r="E91" s="322">
        <f t="shared" si="26"/>
        <v>0</v>
      </c>
      <c r="F91" s="322">
        <f t="shared" si="26"/>
        <v>0</v>
      </c>
      <c r="G91" s="322">
        <f t="shared" si="26"/>
        <v>0</v>
      </c>
      <c r="H91" s="322">
        <f t="shared" si="26"/>
        <v>0</v>
      </c>
      <c r="I91" s="322">
        <f t="shared" si="26"/>
        <v>0</v>
      </c>
      <c r="J91" s="322">
        <f t="shared" si="26"/>
        <v>0</v>
      </c>
      <c r="K91" s="322">
        <f t="shared" si="26"/>
        <v>0</v>
      </c>
      <c r="L91" s="322">
        <f t="shared" si="26"/>
        <v>0</v>
      </c>
      <c r="M91" s="322">
        <f t="shared" si="26"/>
        <v>0</v>
      </c>
      <c r="N91" s="322">
        <f>M95</f>
        <v>0</v>
      </c>
      <c r="O91" s="322">
        <f t="shared" si="26"/>
        <v>0</v>
      </c>
      <c r="P91" s="322">
        <f t="shared" si="26"/>
        <v>0</v>
      </c>
      <c r="Q91" s="322">
        <f t="shared" si="26"/>
        <v>0</v>
      </c>
      <c r="R91" s="322">
        <v>0</v>
      </c>
      <c r="S91" s="322">
        <f t="shared" si="26"/>
        <v>0</v>
      </c>
      <c r="T91" s="322">
        <f t="shared" si="26"/>
        <v>0</v>
      </c>
      <c r="U91" s="322">
        <f t="shared" si="26"/>
        <v>0</v>
      </c>
    </row>
    <row r="92" spans="1:44">
      <c r="A92" s="38" t="s">
        <v>122</v>
      </c>
      <c r="B92" s="332">
        <f t="shared" ref="B92:U92" si="27">IF(B62&gt;2020,0,IF(B89&lt;0,-B89,0))</f>
        <v>0</v>
      </c>
      <c r="C92" s="332">
        <f t="shared" si="27"/>
        <v>77.503020734930317</v>
      </c>
      <c r="D92" s="332">
        <f t="shared" si="27"/>
        <v>0</v>
      </c>
      <c r="E92" s="332">
        <f t="shared" si="27"/>
        <v>0</v>
      </c>
      <c r="F92" s="332">
        <f t="shared" si="27"/>
        <v>0</v>
      </c>
      <c r="G92" s="332">
        <f t="shared" si="27"/>
        <v>0</v>
      </c>
      <c r="H92" s="332">
        <f t="shared" si="27"/>
        <v>0</v>
      </c>
      <c r="I92" s="332">
        <f t="shared" si="27"/>
        <v>0</v>
      </c>
      <c r="J92" s="332">
        <f t="shared" si="27"/>
        <v>0</v>
      </c>
      <c r="K92" s="332">
        <f t="shared" si="27"/>
        <v>0</v>
      </c>
      <c r="L92" s="332">
        <f t="shared" si="27"/>
        <v>0</v>
      </c>
      <c r="M92" s="332">
        <f t="shared" si="27"/>
        <v>0</v>
      </c>
      <c r="N92" s="332">
        <f t="shared" si="27"/>
        <v>0</v>
      </c>
      <c r="O92" s="332">
        <f t="shared" si="27"/>
        <v>0</v>
      </c>
      <c r="P92" s="332">
        <f t="shared" si="27"/>
        <v>0</v>
      </c>
      <c r="Q92" s="332">
        <f t="shared" si="27"/>
        <v>0</v>
      </c>
      <c r="R92" s="332">
        <f t="shared" si="27"/>
        <v>0</v>
      </c>
      <c r="S92" s="332">
        <f t="shared" si="27"/>
        <v>0</v>
      </c>
      <c r="T92" s="332">
        <f t="shared" si="27"/>
        <v>0</v>
      </c>
      <c r="U92" s="332">
        <f t="shared" si="27"/>
        <v>0</v>
      </c>
    </row>
    <row r="93" spans="1:44">
      <c r="A93" s="38" t="s">
        <v>123</v>
      </c>
      <c r="B93" s="372">
        <v>0</v>
      </c>
      <c r="C93" s="372">
        <v>0</v>
      </c>
      <c r="D93" s="372">
        <v>0</v>
      </c>
      <c r="E93" s="372">
        <v>0</v>
      </c>
      <c r="F93" s="372">
        <v>0</v>
      </c>
      <c r="G93" s="372">
        <v>0</v>
      </c>
      <c r="H93" s="372">
        <v>0</v>
      </c>
      <c r="I93" s="372">
        <v>0</v>
      </c>
      <c r="J93" s="372">
        <v>0</v>
      </c>
      <c r="K93" s="372">
        <v>0</v>
      </c>
      <c r="L93" s="372">
        <v>0</v>
      </c>
      <c r="M93" s="372">
        <v>0</v>
      </c>
      <c r="N93" s="372">
        <v>0</v>
      </c>
      <c r="O93" s="372">
        <v>0</v>
      </c>
      <c r="P93" s="372">
        <v>0</v>
      </c>
      <c r="Q93" s="372">
        <v>0</v>
      </c>
      <c r="R93" s="372">
        <v>0</v>
      </c>
      <c r="S93" s="372">
        <v>0</v>
      </c>
      <c r="T93" s="322">
        <f>IF(L92&gt;(SUM(M94:S94)+SUM(L93:S93))*-1,L92-(SUM(L94:S94)+SUM(L93:S93))*-1,0)</f>
        <v>0</v>
      </c>
      <c r="U93" s="322">
        <f>IF(M92&gt;(SUM(N94:T94)+SUM(M93:T93))*-1,M92-(SUM(M94:T94)+SUM(M93:T93))*-1,0)</f>
        <v>0</v>
      </c>
    </row>
    <row r="94" spans="1:44">
      <c r="A94" s="9" t="s">
        <v>124</v>
      </c>
      <c r="B94" s="373">
        <f t="shared" ref="B94:T94" si="28">IF(B89&lt;0,0,IF(B91&gt;B89,-B89,-B91))</f>
        <v>0</v>
      </c>
      <c r="C94" s="373">
        <f t="shared" si="28"/>
        <v>0</v>
      </c>
      <c r="D94" s="373">
        <f t="shared" si="28"/>
        <v>-77.503020734930317</v>
      </c>
      <c r="E94" s="373">
        <f t="shared" si="28"/>
        <v>0</v>
      </c>
      <c r="F94" s="373">
        <f t="shared" si="28"/>
        <v>0</v>
      </c>
      <c r="G94" s="373">
        <f t="shared" si="28"/>
        <v>0</v>
      </c>
      <c r="H94" s="373">
        <f t="shared" si="28"/>
        <v>0</v>
      </c>
      <c r="I94" s="373">
        <f t="shared" si="28"/>
        <v>0</v>
      </c>
      <c r="J94" s="373">
        <f t="shared" si="28"/>
        <v>0</v>
      </c>
      <c r="K94" s="373">
        <f t="shared" si="28"/>
        <v>0</v>
      </c>
      <c r="L94" s="373">
        <f t="shared" si="28"/>
        <v>0</v>
      </c>
      <c r="M94" s="373">
        <f t="shared" si="28"/>
        <v>0</v>
      </c>
      <c r="N94" s="373">
        <f t="shared" si="28"/>
        <v>0</v>
      </c>
      <c r="O94" s="373">
        <f t="shared" si="28"/>
        <v>0</v>
      </c>
      <c r="P94" s="373">
        <f t="shared" si="28"/>
        <v>0</v>
      </c>
      <c r="Q94" s="373">
        <f t="shared" si="28"/>
        <v>0</v>
      </c>
      <c r="R94" s="373">
        <f t="shared" si="28"/>
        <v>0</v>
      </c>
      <c r="S94" s="373">
        <f t="shared" si="28"/>
        <v>0</v>
      </c>
      <c r="T94" s="373">
        <f t="shared" si="28"/>
        <v>0</v>
      </c>
      <c r="U94" s="373">
        <f>IF(U89&lt;0,0,IF(U91&gt;U89,-U89,-U91))</f>
        <v>0</v>
      </c>
    </row>
    <row r="95" spans="1:44">
      <c r="A95" s="9" t="s">
        <v>125</v>
      </c>
      <c r="B95" s="373">
        <f t="shared" ref="B95:U95" si="29">SUM(B91:B94)</f>
        <v>0</v>
      </c>
      <c r="C95" s="373">
        <f t="shared" si="29"/>
        <v>77.503020734930317</v>
      </c>
      <c r="D95" s="373">
        <f t="shared" si="29"/>
        <v>0</v>
      </c>
      <c r="E95" s="373">
        <f t="shared" si="29"/>
        <v>0</v>
      </c>
      <c r="F95" s="373">
        <f t="shared" si="29"/>
        <v>0</v>
      </c>
      <c r="G95" s="373">
        <f t="shared" si="29"/>
        <v>0</v>
      </c>
      <c r="H95" s="373">
        <f t="shared" si="29"/>
        <v>0</v>
      </c>
      <c r="I95" s="373">
        <f t="shared" si="29"/>
        <v>0</v>
      </c>
      <c r="J95" s="373">
        <f t="shared" si="29"/>
        <v>0</v>
      </c>
      <c r="K95" s="373">
        <f t="shared" si="29"/>
        <v>0</v>
      </c>
      <c r="L95" s="373">
        <f t="shared" si="29"/>
        <v>0</v>
      </c>
      <c r="M95" s="373">
        <f t="shared" si="29"/>
        <v>0</v>
      </c>
      <c r="N95" s="373">
        <f t="shared" si="29"/>
        <v>0</v>
      </c>
      <c r="O95" s="373">
        <f t="shared" si="29"/>
        <v>0</v>
      </c>
      <c r="P95" s="373">
        <f t="shared" si="29"/>
        <v>0</v>
      </c>
      <c r="Q95" s="373">
        <f t="shared" si="29"/>
        <v>0</v>
      </c>
      <c r="R95" s="373">
        <f t="shared" si="29"/>
        <v>0</v>
      </c>
      <c r="S95" s="373">
        <f t="shared" si="29"/>
        <v>0</v>
      </c>
      <c r="T95" s="373">
        <f t="shared" si="29"/>
        <v>0</v>
      </c>
      <c r="U95" s="373">
        <f t="shared" si="29"/>
        <v>0</v>
      </c>
    </row>
    <row r="96" spans="1:44">
      <c r="A96" s="9"/>
      <c r="B96" s="267"/>
      <c r="C96" s="267"/>
      <c r="D96" s="267"/>
      <c r="E96" s="267"/>
      <c r="F96" s="267"/>
      <c r="G96" s="267"/>
      <c r="H96" s="267"/>
      <c r="I96" s="267"/>
      <c r="J96" s="267"/>
      <c r="K96" s="267"/>
      <c r="L96" s="267"/>
      <c r="M96" s="267"/>
      <c r="N96" s="267"/>
      <c r="O96" s="267"/>
      <c r="P96" s="267"/>
      <c r="Q96" s="267"/>
      <c r="R96" s="267"/>
      <c r="S96" s="267"/>
      <c r="T96" s="267"/>
      <c r="U96" s="267"/>
    </row>
    <row r="97" spans="1:23" ht="13.5" thickBot="1">
      <c r="A97" s="14" t="s">
        <v>117</v>
      </c>
      <c r="B97" s="317">
        <f t="shared" ref="B97:U97" si="30">IF(B89&lt;0,0,B89+B94)</f>
        <v>474.32356666156142</v>
      </c>
      <c r="C97" s="317">
        <f t="shared" si="30"/>
        <v>0</v>
      </c>
      <c r="D97" s="317">
        <f t="shared" si="30"/>
        <v>79.795421762421256</v>
      </c>
      <c r="E97" s="317">
        <f t="shared" si="30"/>
        <v>388.8229333088874</v>
      </c>
      <c r="F97" s="317">
        <f t="shared" si="30"/>
        <v>626.40169494367115</v>
      </c>
      <c r="G97" s="317">
        <f t="shared" si="30"/>
        <v>763.5356812351655</v>
      </c>
      <c r="H97" s="317">
        <f t="shared" si="30"/>
        <v>855.36526194021928</v>
      </c>
      <c r="I97" s="317">
        <f t="shared" si="30"/>
        <v>898.91581825923754</v>
      </c>
      <c r="J97" s="317">
        <f t="shared" si="30"/>
        <v>951.38865771864585</v>
      </c>
      <c r="K97" s="317">
        <f t="shared" si="30"/>
        <v>1002.482537572148</v>
      </c>
      <c r="L97" s="317">
        <f t="shared" si="30"/>
        <v>1088.3748738651179</v>
      </c>
      <c r="M97" s="317">
        <f t="shared" si="30"/>
        <v>1194.6271439153406</v>
      </c>
      <c r="N97" s="317">
        <f t="shared" si="30"/>
        <v>1286.3232422790938</v>
      </c>
      <c r="O97" s="317">
        <f t="shared" si="30"/>
        <v>1395.7472741948295</v>
      </c>
      <c r="P97" s="317">
        <f t="shared" si="30"/>
        <v>1483.1538699724833</v>
      </c>
      <c r="Q97" s="317">
        <f t="shared" si="30"/>
        <v>2038.5709039421799</v>
      </c>
      <c r="R97" s="317">
        <f t="shared" si="30"/>
        <v>2563.1225923905931</v>
      </c>
      <c r="S97" s="317">
        <f t="shared" si="30"/>
        <v>2665.0665264318836</v>
      </c>
      <c r="T97" s="317">
        <f t="shared" si="30"/>
        <v>2758.3123618610794</v>
      </c>
      <c r="U97" s="317">
        <f t="shared" si="30"/>
        <v>2851.8618087176137</v>
      </c>
      <c r="W97" s="361">
        <f>SUM(B97:U97)</f>
        <v>25366.192170972176</v>
      </c>
    </row>
  </sheetData>
  <pageMargins left="0.75" right="0.75" top="1" bottom="1" header="0.5" footer="0.5"/>
  <pageSetup scale="36" orientation="landscape" r:id="rId1"/>
  <headerFooter alignWithMargins="0">
    <oddHeader>&amp;L&amp;12Enron's Generation&amp;RCONFIDENTIAL</oddHeader>
    <oddFooter>&amp;L&amp;D&amp;C&amp;F&amp;RPage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15</vt:i4>
      </vt:variant>
    </vt:vector>
  </HeadingPairs>
  <TitlesOfParts>
    <vt:vector size="27" baseType="lpstr">
      <vt:lpstr>Summary Output</vt:lpstr>
      <vt:lpstr>Assumptions</vt:lpstr>
      <vt:lpstr>Power Price Assumption</vt:lpstr>
      <vt:lpstr>IS</vt:lpstr>
      <vt:lpstr>Debt</vt:lpstr>
      <vt:lpstr>CF</vt:lpstr>
      <vt:lpstr>Depreciation</vt:lpstr>
      <vt:lpstr>Tax</vt:lpstr>
      <vt:lpstr>Gleason</vt:lpstr>
      <vt:lpstr>Wheatland</vt:lpstr>
      <vt:lpstr>Wilton</vt:lpstr>
      <vt:lpstr>Allocation</vt:lpstr>
      <vt:lpstr>Allocation!Print_Area</vt:lpstr>
      <vt:lpstr>Assumptions!Print_Area</vt:lpstr>
      <vt:lpstr>CF!Print_Area</vt:lpstr>
      <vt:lpstr>Debt!Print_Area</vt:lpstr>
      <vt:lpstr>Depreciation!Print_Area</vt:lpstr>
      <vt:lpstr>Gleason!Print_Area</vt:lpstr>
      <vt:lpstr>IS!Print_Area</vt:lpstr>
      <vt:lpstr>Tax!Print_Area</vt:lpstr>
      <vt:lpstr>Wheatland!Print_Area</vt:lpstr>
      <vt:lpstr>Wilton!Print_Area</vt:lpstr>
      <vt:lpstr>Gleason!zinc</vt:lpstr>
      <vt:lpstr>Wheatland!zinc</vt:lpstr>
      <vt:lpstr>Wheatland!Zinc_Distributable_Cash</vt:lpstr>
      <vt:lpstr>Wheatland!Zinc_Net_ATCash</vt:lpstr>
      <vt:lpstr>Wheatland!Zinc_Net_Income</vt:lpstr>
    </vt:vector>
  </TitlesOfParts>
  <Company>ENA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Hoff</dc:creator>
  <cp:lastModifiedBy>Jan Havlíček</cp:lastModifiedBy>
  <cp:lastPrinted>2000-08-14T17:46:47Z</cp:lastPrinted>
  <dcterms:created xsi:type="dcterms:W3CDTF">1999-04-02T01:38:38Z</dcterms:created>
  <dcterms:modified xsi:type="dcterms:W3CDTF">2023-09-13T21:26:41Z</dcterms:modified>
</cp:coreProperties>
</file>